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04"/>
  <workbookPr defaultThemeVersion="124226"/>
  <mc:AlternateContent xmlns:mc="http://schemas.openxmlformats.org/markup-compatibility/2006">
    <mc:Choice Requires="x15">
      <x15ac:absPath xmlns:x15ac="http://schemas.microsoft.com/office/spreadsheetml/2010/11/ac" url="C:\Users\Phu PC\AppData\Roaming\VNPT Plugin\Files\FileTemp\"/>
    </mc:Choice>
  </mc:AlternateContent>
  <xr:revisionPtr revIDLastSave="0" documentId="13_ncr:1_{E74413CC-12AC-4B52-8E20-58D3327E6530}" xr6:coauthVersionLast="47" xr6:coauthVersionMax="47" xr10:uidLastSave="{00000000-0000-0000-0000-000000000000}"/>
  <bookViews>
    <workbookView xWindow="-120" yWindow="-120" windowWidth="24240" windowHeight="13140" tabRatio="954" firstSheet="11" activeTab="11" xr2:uid="{00000000-000D-0000-FFFF-FFFF00000000}"/>
  </bookViews>
  <sheets>
    <sheet name="PL1-TH dư nguồn DTTS" sheetId="4" state="hidden" r:id="rId1"/>
    <sheet name="PL2-TH dư nguồn GNBV" sheetId="7" state="hidden" r:id="rId2"/>
    <sheet name="B1 PAĐC DTTS" sheetId="1" state="hidden" r:id="rId3"/>
    <sheet name="B2 PAĐC GNBV" sheetId="8" state="hidden" r:id="rId4"/>
    <sheet name="B3 PAĐC NTM" sheetId="9" state="hidden" r:id="rId5"/>
    <sheet name="B4 TM tăng DTTS" sheetId="13" state="hidden" r:id="rId6"/>
    <sheet name="B5 TM tăng TDA2 DA3 DTTS" sheetId="14" state="hidden" r:id="rId7"/>
    <sheet name="B6 TM tăng TDA1 DA4 DTTS" sheetId="15" state="hidden" r:id="rId8"/>
    <sheet name="B7 TM TDA1 DA4 DTTS 2024" sheetId="16" state="hidden" r:id="rId9"/>
    <sheet name="B8 TM tăng GNBV" sheetId="17" state="hidden" r:id="rId10"/>
    <sheet name="B9 TM tăng PTSX GNBV" sheetId="18" state="hidden" r:id="rId11"/>
    <sheet name="Phụ lục I" sheetId="19" r:id="rId12"/>
  </sheets>
  <externalReferences>
    <externalReference r:id="rId13"/>
    <externalReference r:id="rId14"/>
    <externalReference r:id="rId15"/>
  </externalReferences>
  <definedNames>
    <definedName name="_xlnm.Print_Area" localSheetId="2">'B1 PAĐC DTTS'!$A$1:$O$114</definedName>
    <definedName name="_xlnm.Print_Area" localSheetId="3">'B2 PAĐC GNBV'!$A$1:$P$140</definedName>
    <definedName name="_xlnm.Print_Area" localSheetId="0">'PL1-TH dư nguồn DTTS'!$A$1:$I$135</definedName>
    <definedName name="_xlnm.Print_Area" localSheetId="1">'PL2-TH dư nguồn GNBV'!$A$1:$I$158</definedName>
    <definedName name="_xlnm.Print_Area" localSheetId="11">'Phụ lục I'!$A$1:$I$24</definedName>
    <definedName name="_xlnm.Print_Titles" localSheetId="2">'B1 PAĐC DTTS'!$6:$8</definedName>
    <definedName name="_xlnm.Print_Titles" localSheetId="3">'B2 PAĐC GNBV'!$5:$7</definedName>
    <definedName name="_xlnm.Print_Titles" localSheetId="4">'B3 PAĐC NTM'!$5:$7</definedName>
    <definedName name="_xlnm.Print_Titles" localSheetId="5">'B4 TM tăng DTTS'!$6:$8</definedName>
    <definedName name="_xlnm.Print_Titles" localSheetId="6">'B5 TM tăng TDA2 DA3 DTTS'!$6:$8</definedName>
    <definedName name="_xlnm.Print_Titles" localSheetId="7">'B6 TM tăng TDA1 DA4 DTTS'!$6:$8</definedName>
    <definedName name="_xlnm.Print_Titles" localSheetId="8">'B7 TM TDA1 DA4 DTTS 2024'!$6:$8</definedName>
    <definedName name="_xlnm.Print_Titles" localSheetId="9">'B8 TM tăng GNBV'!$6:$8</definedName>
    <definedName name="_xlnm.Print_Titles" localSheetId="10">'B9 TM tăng PTSX GNBV'!$6:$8</definedName>
    <definedName name="_xlnm.Print_Titles" localSheetId="0">'PL1-TH dư nguồn DTTS'!$6:$8</definedName>
    <definedName name="_xlnm.Print_Titles" localSheetId="1">'PL2-TH dư nguồn GNBV'!$6:$8</definedName>
    <definedName name="_xlnm.Print_Titles" localSheetId="11">'Phụ lục I'!$5:$7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19" l="1"/>
  <c r="F11" i="19"/>
  <c r="G13" i="19"/>
  <c r="G14" i="19"/>
  <c r="G15" i="19"/>
  <c r="G12" i="19"/>
  <c r="G11" i="19" s="1"/>
  <c r="F8" i="14" l="1"/>
  <c r="E8" i="4"/>
  <c r="E8" i="7" s="1"/>
  <c r="E8" i="13" s="1"/>
  <c r="G8" i="14" s="1"/>
  <c r="G8" i="15" s="1"/>
  <c r="E8" i="16" s="1"/>
  <c r="E8" i="17" s="1"/>
  <c r="G8" i="18" s="1"/>
  <c r="D8" i="4"/>
  <c r="D8" i="7" s="1"/>
  <c r="D8" i="13" s="1"/>
  <c r="F8" i="15" s="1"/>
  <c r="D8" i="16" s="1"/>
  <c r="D8" i="17" s="1"/>
  <c r="F8" i="18" s="1"/>
  <c r="F50" i="18"/>
  <c r="E50" i="18" s="1"/>
  <c r="C50" i="18" s="1"/>
  <c r="E49" i="18"/>
  <c r="C49" i="18" s="1"/>
  <c r="F48" i="18"/>
  <c r="E48" i="18" s="1"/>
  <c r="C48" i="18" s="1"/>
  <c r="E47" i="18"/>
  <c r="C47" i="18" s="1"/>
  <c r="E46" i="18"/>
  <c r="C46" i="18" s="1"/>
  <c r="F45" i="18"/>
  <c r="E44" i="18"/>
  <c r="C44" i="18" s="1"/>
  <c r="G43" i="18"/>
  <c r="G42" i="18" s="1"/>
  <c r="D42" i="18"/>
  <c r="E41" i="18"/>
  <c r="E40" i="18"/>
  <c r="G39" i="18"/>
  <c r="G38" i="18" s="1"/>
  <c r="F39" i="18"/>
  <c r="F38" i="18" s="1"/>
  <c r="D39" i="18"/>
  <c r="D38" i="18" s="1"/>
  <c r="C39" i="18"/>
  <c r="C38" i="18" s="1"/>
  <c r="E37" i="18"/>
  <c r="C37" i="18" s="1"/>
  <c r="E36" i="18"/>
  <c r="C36" i="18" s="1"/>
  <c r="E35" i="18"/>
  <c r="C35" i="18" s="1"/>
  <c r="E34" i="18"/>
  <c r="C34" i="18" s="1"/>
  <c r="E33" i="18"/>
  <c r="G32" i="18"/>
  <c r="F32" i="18"/>
  <c r="E31" i="18"/>
  <c r="C31" i="18" s="1"/>
  <c r="C30" i="18" s="1"/>
  <c r="G30" i="18"/>
  <c r="F30" i="18"/>
  <c r="E28" i="18"/>
  <c r="C28" i="18" s="1"/>
  <c r="E27" i="18"/>
  <c r="E26" i="18"/>
  <c r="E25" i="18"/>
  <c r="G24" i="18"/>
  <c r="F24" i="18"/>
  <c r="D24" i="18"/>
  <c r="E23" i="18"/>
  <c r="E22" i="18"/>
  <c r="E21" i="18"/>
  <c r="E20" i="18"/>
  <c r="G19" i="18"/>
  <c r="F19" i="18"/>
  <c r="D19" i="18"/>
  <c r="C19" i="18"/>
  <c r="G12" i="18"/>
  <c r="G11" i="18" s="1"/>
  <c r="F12" i="18"/>
  <c r="F11" i="18" s="1"/>
  <c r="E12" i="18"/>
  <c r="E11" i="18" s="1"/>
  <c r="C12" i="18"/>
  <c r="C11" i="18" s="1"/>
  <c r="D11" i="18"/>
  <c r="C48" i="17"/>
  <c r="D47" i="17"/>
  <c r="C47" i="17" s="1"/>
  <c r="C46" i="17"/>
  <c r="C45" i="17"/>
  <c r="D44" i="17"/>
  <c r="C44" i="17" s="1"/>
  <c r="E43" i="17"/>
  <c r="C42" i="17"/>
  <c r="C41" i="17" s="1"/>
  <c r="C40" i="17" s="1"/>
  <c r="E41" i="17"/>
  <c r="E40" i="17" s="1"/>
  <c r="D41" i="17"/>
  <c r="D40" i="17" s="1"/>
  <c r="C39" i="17"/>
  <c r="C38" i="17" s="1"/>
  <c r="E38" i="17"/>
  <c r="D38" i="17"/>
  <c r="C37" i="17"/>
  <c r="C36" i="17" s="1"/>
  <c r="E36" i="17"/>
  <c r="D36" i="17"/>
  <c r="C35" i="17"/>
  <c r="C33" i="17"/>
  <c r="C32" i="17"/>
  <c r="E31" i="17"/>
  <c r="D31" i="17"/>
  <c r="C30" i="17"/>
  <c r="C29" i="17"/>
  <c r="E28" i="17"/>
  <c r="D28" i="17"/>
  <c r="C27" i="17"/>
  <c r="C26" i="17"/>
  <c r="E25" i="17"/>
  <c r="D25" i="17"/>
  <c r="C24" i="17"/>
  <c r="C22" i="17"/>
  <c r="C21" i="17" s="1"/>
  <c r="E21" i="17"/>
  <c r="D21" i="17"/>
  <c r="C20" i="17"/>
  <c r="C19" i="17" s="1"/>
  <c r="E19" i="17"/>
  <c r="D19" i="17"/>
  <c r="C18" i="17"/>
  <c r="C15" i="17"/>
  <c r="C14" i="17" s="1"/>
  <c r="C13" i="17" s="1"/>
  <c r="E14" i="17"/>
  <c r="E13" i="17" s="1"/>
  <c r="D14" i="17"/>
  <c r="D13" i="17" s="1"/>
  <c r="C12" i="17"/>
  <c r="C11" i="17" s="1"/>
  <c r="E11" i="17"/>
  <c r="D11" i="17"/>
  <c r="C10" i="17" l="1"/>
  <c r="F29" i="18"/>
  <c r="D10" i="17"/>
  <c r="D34" i="17"/>
  <c r="G29" i="18"/>
  <c r="C28" i="17"/>
  <c r="E39" i="18"/>
  <c r="E38" i="18" s="1"/>
  <c r="E8" i="1"/>
  <c r="H8" i="1" s="1"/>
  <c r="K8" i="1" s="1"/>
  <c r="N8" i="1" s="1"/>
  <c r="E34" i="17"/>
  <c r="D8" i="1"/>
  <c r="G8" i="1" s="1"/>
  <c r="J8" i="1" s="1"/>
  <c r="M8" i="1" s="1"/>
  <c r="F18" i="18"/>
  <c r="E19" i="18"/>
  <c r="E18" i="18" s="1"/>
  <c r="G18" i="18"/>
  <c r="C34" i="17"/>
  <c r="E24" i="18"/>
  <c r="E10" i="17"/>
  <c r="D17" i="17"/>
  <c r="E17" i="17"/>
  <c r="C25" i="17"/>
  <c r="E30" i="18"/>
  <c r="E29" i="18" s="1"/>
  <c r="D18" i="18"/>
  <c r="E23" i="17"/>
  <c r="D23" i="17"/>
  <c r="D16" i="17" s="1"/>
  <c r="D9" i="17" s="1"/>
  <c r="C27" i="18"/>
  <c r="C24" i="18" s="1"/>
  <c r="E32" i="18"/>
  <c r="F43" i="18"/>
  <c r="F42" i="18" s="1"/>
  <c r="G10" i="18"/>
  <c r="C18" i="18"/>
  <c r="D10" i="18"/>
  <c r="C33" i="18"/>
  <c r="C32" i="18" s="1"/>
  <c r="C29" i="18" s="1"/>
  <c r="E45" i="18"/>
  <c r="C45" i="18" s="1"/>
  <c r="C43" i="18" s="1"/>
  <c r="C42" i="18" s="1"/>
  <c r="D43" i="17"/>
  <c r="C17" i="17"/>
  <c r="C43" i="17"/>
  <c r="C31" i="17"/>
  <c r="C23" i="17" l="1"/>
  <c r="E16" i="17"/>
  <c r="E9" i="17" s="1"/>
  <c r="F10" i="18"/>
  <c r="C16" i="17"/>
  <c r="C9" i="17" s="1"/>
  <c r="C10" i="18"/>
  <c r="E43" i="18"/>
  <c r="E42" i="18" s="1"/>
  <c r="E10" i="18" s="1"/>
  <c r="N43" i="9" l="1"/>
  <c r="N42" i="9" s="1"/>
  <c r="M43" i="9"/>
  <c r="L43" i="9" s="1"/>
  <c r="L42" i="9" s="1"/>
  <c r="I43" i="9"/>
  <c r="I42" i="9" s="1"/>
  <c r="F43" i="9"/>
  <c r="F42" i="9" s="1"/>
  <c r="K42" i="9"/>
  <c r="J42" i="9"/>
  <c r="H42" i="9"/>
  <c r="G42" i="9"/>
  <c r="E42" i="9"/>
  <c r="I41" i="9"/>
  <c r="I40" i="9" s="1"/>
  <c r="H41" i="9"/>
  <c r="H40" i="9" s="1"/>
  <c r="G41" i="9"/>
  <c r="E41" i="9"/>
  <c r="E40" i="9" s="1"/>
  <c r="D41" i="9"/>
  <c r="D40" i="9" s="1"/>
  <c r="K40" i="9"/>
  <c r="J40" i="9"/>
  <c r="N39" i="9"/>
  <c r="N38" i="9" s="1"/>
  <c r="M39" i="9"/>
  <c r="M38" i="9" s="1"/>
  <c r="I39" i="9"/>
  <c r="I38" i="9" s="1"/>
  <c r="F39" i="9"/>
  <c r="F38" i="9" s="1"/>
  <c r="C39" i="9"/>
  <c r="C38" i="9" s="1"/>
  <c r="K38" i="9"/>
  <c r="J38" i="9"/>
  <c r="H38" i="9"/>
  <c r="G38" i="9"/>
  <c r="E38" i="9"/>
  <c r="D38" i="9"/>
  <c r="N35" i="9"/>
  <c r="N34" i="9" s="1"/>
  <c r="M35" i="9"/>
  <c r="I35" i="9"/>
  <c r="I34" i="9" s="1"/>
  <c r="F35" i="9"/>
  <c r="F34" i="9" s="1"/>
  <c r="C35" i="9"/>
  <c r="C34" i="9" s="1"/>
  <c r="K34" i="9"/>
  <c r="J34" i="9"/>
  <c r="H34" i="9"/>
  <c r="G34" i="9"/>
  <c r="E34" i="9"/>
  <c r="D34" i="9"/>
  <c r="N33" i="9"/>
  <c r="N32" i="9" s="1"/>
  <c r="M33" i="9"/>
  <c r="M32" i="9" s="1"/>
  <c r="I33" i="9"/>
  <c r="I32" i="9" s="1"/>
  <c r="F33" i="9"/>
  <c r="F32" i="9" s="1"/>
  <c r="C33" i="9"/>
  <c r="C32" i="9" s="1"/>
  <c r="K32" i="9"/>
  <c r="K31" i="9" s="1"/>
  <c r="J32" i="9"/>
  <c r="H32" i="9"/>
  <c r="G32" i="9"/>
  <c r="E32" i="9"/>
  <c r="D32" i="9"/>
  <c r="N29" i="9"/>
  <c r="N28" i="9" s="1"/>
  <c r="M29" i="9"/>
  <c r="M28" i="9" s="1"/>
  <c r="I29" i="9"/>
  <c r="I28" i="9" s="1"/>
  <c r="F29" i="9"/>
  <c r="F28" i="9" s="1"/>
  <c r="C29" i="9"/>
  <c r="C28" i="9" s="1"/>
  <c r="K28" i="9"/>
  <c r="J28" i="9"/>
  <c r="H28" i="9"/>
  <c r="G28" i="9"/>
  <c r="E28" i="9"/>
  <c r="D28" i="9"/>
  <c r="N27" i="9"/>
  <c r="N26" i="9" s="1"/>
  <c r="M27" i="9"/>
  <c r="M26" i="9" s="1"/>
  <c r="I27" i="9"/>
  <c r="I26" i="9" s="1"/>
  <c r="F27" i="9"/>
  <c r="F26" i="9" s="1"/>
  <c r="C27" i="9"/>
  <c r="C26" i="9" s="1"/>
  <c r="K26" i="9"/>
  <c r="J26" i="9"/>
  <c r="H26" i="9"/>
  <c r="G26" i="9"/>
  <c r="E26" i="9"/>
  <c r="D26" i="9"/>
  <c r="N22" i="9"/>
  <c r="M22" i="9"/>
  <c r="I22" i="9"/>
  <c r="F22" i="9"/>
  <c r="C22" i="9"/>
  <c r="N21" i="9"/>
  <c r="M21" i="9"/>
  <c r="I21" i="9"/>
  <c r="F21" i="9"/>
  <c r="C21" i="9"/>
  <c r="N20" i="9"/>
  <c r="M20" i="9"/>
  <c r="I20" i="9"/>
  <c r="I19" i="9" s="1"/>
  <c r="F20" i="9"/>
  <c r="C20" i="9"/>
  <c r="K19" i="9"/>
  <c r="J19" i="9"/>
  <c r="H19" i="9"/>
  <c r="G19" i="9"/>
  <c r="E19" i="9"/>
  <c r="D19" i="9"/>
  <c r="N18" i="9"/>
  <c r="N17" i="9" s="1"/>
  <c r="M18" i="9"/>
  <c r="M17" i="9" s="1"/>
  <c r="I18" i="9"/>
  <c r="I17" i="9" s="1"/>
  <c r="F18" i="9"/>
  <c r="F17" i="9" s="1"/>
  <c r="C18" i="9"/>
  <c r="C17" i="9" s="1"/>
  <c r="K17" i="9"/>
  <c r="J17" i="9"/>
  <c r="H17" i="9"/>
  <c r="G17" i="9"/>
  <c r="E17" i="9"/>
  <c r="D17" i="9"/>
  <c r="N14" i="9"/>
  <c r="N13" i="9" s="1"/>
  <c r="M14" i="9"/>
  <c r="M13" i="9" s="1"/>
  <c r="I14" i="9"/>
  <c r="I13" i="9" s="1"/>
  <c r="F14" i="9"/>
  <c r="F13" i="9" s="1"/>
  <c r="F11" i="9" s="1"/>
  <c r="C14" i="9"/>
  <c r="C13" i="9" s="1"/>
  <c r="K13" i="9"/>
  <c r="K12" i="9" s="1"/>
  <c r="J13" i="9"/>
  <c r="J12" i="9" s="1"/>
  <c r="H13" i="9"/>
  <c r="H12" i="9" s="1"/>
  <c r="G13" i="9"/>
  <c r="G12" i="9" s="1"/>
  <c r="E13" i="9"/>
  <c r="E11" i="9" s="1"/>
  <c r="D13" i="9"/>
  <c r="D11" i="9" s="1"/>
  <c r="N140" i="8"/>
  <c r="N139" i="8" s="1"/>
  <c r="M140" i="8"/>
  <c r="F140" i="8"/>
  <c r="C140" i="8"/>
  <c r="K139" i="8"/>
  <c r="J139" i="8"/>
  <c r="I139" i="8"/>
  <c r="H139" i="8"/>
  <c r="G139" i="8"/>
  <c r="E139" i="8"/>
  <c r="D139" i="8"/>
  <c r="N138" i="8"/>
  <c r="N137" i="8" s="1"/>
  <c r="M138" i="8"/>
  <c r="F138" i="8"/>
  <c r="F137" i="8" s="1"/>
  <c r="C138" i="8"/>
  <c r="K137" i="8"/>
  <c r="J137" i="8"/>
  <c r="I137" i="8"/>
  <c r="H137" i="8"/>
  <c r="G137" i="8"/>
  <c r="J127" i="8" s="1"/>
  <c r="E137" i="8"/>
  <c r="D137" i="8"/>
  <c r="C137" i="8" s="1"/>
  <c r="H136" i="8"/>
  <c r="H21" i="8" s="1"/>
  <c r="G136" i="8"/>
  <c r="M136" i="8" s="1"/>
  <c r="C136" i="8"/>
  <c r="N135" i="8"/>
  <c r="M135" i="8"/>
  <c r="F135" i="8"/>
  <c r="C135" i="8"/>
  <c r="N132" i="8"/>
  <c r="M132" i="8"/>
  <c r="L132" i="8"/>
  <c r="K132" i="8"/>
  <c r="K131" i="8" s="1"/>
  <c r="J132" i="8"/>
  <c r="J131" i="8" s="1"/>
  <c r="I132" i="8"/>
  <c r="I131" i="8" s="1"/>
  <c r="H132" i="8"/>
  <c r="H131" i="8" s="1"/>
  <c r="G132" i="8"/>
  <c r="G131" i="8" s="1"/>
  <c r="F132" i="8"/>
  <c r="E132" i="8"/>
  <c r="D132" i="8"/>
  <c r="D131" i="8" s="1"/>
  <c r="N130" i="8"/>
  <c r="M130" i="8"/>
  <c r="M129" i="8" s="1"/>
  <c r="I130" i="8"/>
  <c r="I129" i="8" s="1"/>
  <c r="C130" i="8"/>
  <c r="K129" i="8"/>
  <c r="J129" i="8"/>
  <c r="H129" i="8"/>
  <c r="G129" i="8"/>
  <c r="F129" i="8"/>
  <c r="E129" i="8"/>
  <c r="D129" i="8"/>
  <c r="K128" i="8"/>
  <c r="J128" i="8"/>
  <c r="M128" i="8" s="1"/>
  <c r="C128" i="8"/>
  <c r="K127" i="8"/>
  <c r="K126" i="8" s="1"/>
  <c r="C127" i="8"/>
  <c r="H126" i="8"/>
  <c r="G126" i="8"/>
  <c r="F126" i="8"/>
  <c r="E126" i="8"/>
  <c r="D126" i="8"/>
  <c r="N124" i="8"/>
  <c r="N123" i="8" s="1"/>
  <c r="M124" i="8"/>
  <c r="M123" i="8" s="1"/>
  <c r="F124" i="8"/>
  <c r="F123" i="8" s="1"/>
  <c r="C124" i="8"/>
  <c r="K123" i="8"/>
  <c r="J123" i="8"/>
  <c r="I123" i="8"/>
  <c r="H123" i="8"/>
  <c r="G123" i="8"/>
  <c r="E123" i="8"/>
  <c r="D123" i="8"/>
  <c r="E122" i="8"/>
  <c r="N122" i="8" s="1"/>
  <c r="D122" i="8"/>
  <c r="C122" i="8" s="1"/>
  <c r="C21" i="8" s="1"/>
  <c r="N121" i="8"/>
  <c r="M121" i="8"/>
  <c r="L121" i="8" s="1"/>
  <c r="F121" i="8"/>
  <c r="N120" i="8"/>
  <c r="G120" i="8"/>
  <c r="G119" i="8" s="1"/>
  <c r="F119" i="8" s="1"/>
  <c r="F118" i="8" s="1"/>
  <c r="C120" i="8"/>
  <c r="C119" i="8" s="1"/>
  <c r="E119" i="8"/>
  <c r="N119" i="8" s="1"/>
  <c r="N118" i="8" s="1"/>
  <c r="D119" i="8"/>
  <c r="D118" i="8" s="1"/>
  <c r="K118" i="8"/>
  <c r="J118" i="8"/>
  <c r="I118" i="8"/>
  <c r="H118" i="8"/>
  <c r="N116" i="8"/>
  <c r="M116" i="8"/>
  <c r="L116" i="8"/>
  <c r="K116" i="8"/>
  <c r="J116" i="8"/>
  <c r="I116" i="8"/>
  <c r="H116" i="8"/>
  <c r="G116" i="8"/>
  <c r="F116" i="8"/>
  <c r="E116" i="8"/>
  <c r="D116" i="8"/>
  <c r="E115" i="8"/>
  <c r="N115" i="8" s="1"/>
  <c r="D115" i="8"/>
  <c r="N114" i="8"/>
  <c r="N113" i="8" s="1"/>
  <c r="J114" i="8"/>
  <c r="I114" i="8" s="1"/>
  <c r="I113" i="8" s="1"/>
  <c r="C114" i="8"/>
  <c r="K113" i="8"/>
  <c r="J113" i="8"/>
  <c r="H113" i="8"/>
  <c r="H11" i="8" s="1"/>
  <c r="G113" i="8"/>
  <c r="F113" i="8"/>
  <c r="E113" i="8"/>
  <c r="D113" i="8"/>
  <c r="N110" i="8"/>
  <c r="M110" i="8"/>
  <c r="F110" i="8"/>
  <c r="C110" i="8"/>
  <c r="H109" i="8"/>
  <c r="H105" i="8" s="1"/>
  <c r="G109" i="8"/>
  <c r="D109" i="8"/>
  <c r="C109" i="8" s="1"/>
  <c r="N108" i="8"/>
  <c r="G108" i="8"/>
  <c r="D108" i="8"/>
  <c r="C108" i="8" s="1"/>
  <c r="N107" i="8"/>
  <c r="N106" i="8" s="1"/>
  <c r="J107" i="8"/>
  <c r="M107" i="8" s="1"/>
  <c r="M106" i="8" s="1"/>
  <c r="K106" i="8"/>
  <c r="K105" i="8" s="1"/>
  <c r="F106" i="8"/>
  <c r="C106" i="8"/>
  <c r="E105" i="8"/>
  <c r="N103" i="8"/>
  <c r="M103" i="8"/>
  <c r="M102" i="8" s="1"/>
  <c r="F103" i="8"/>
  <c r="F102" i="8" s="1"/>
  <c r="C103" i="8"/>
  <c r="C102" i="8" s="1"/>
  <c r="K102" i="8"/>
  <c r="J102" i="8"/>
  <c r="I102" i="8"/>
  <c r="H102" i="8"/>
  <c r="G102" i="8"/>
  <c r="E102" i="8"/>
  <c r="D102" i="8"/>
  <c r="N101" i="8"/>
  <c r="M101" i="8"/>
  <c r="F101" i="8"/>
  <c r="C101" i="8"/>
  <c r="N100" i="8"/>
  <c r="N99" i="8" s="1"/>
  <c r="M100" i="8"/>
  <c r="F100" i="8"/>
  <c r="F99" i="8" s="1"/>
  <c r="F98" i="8" s="1"/>
  <c r="C100" i="8"/>
  <c r="C99" i="8" s="1"/>
  <c r="K99" i="8"/>
  <c r="K98" i="8" s="1"/>
  <c r="J99" i="8"/>
  <c r="J98" i="8" s="1"/>
  <c r="I99" i="8"/>
  <c r="I98" i="8" s="1"/>
  <c r="H99" i="8"/>
  <c r="H98" i="8" s="1"/>
  <c r="G99" i="8"/>
  <c r="G98" i="8" s="1"/>
  <c r="E99" i="8"/>
  <c r="E98" i="8" s="1"/>
  <c r="D99" i="8"/>
  <c r="D98" i="8" s="1"/>
  <c r="N97" i="8"/>
  <c r="N96" i="8" s="1"/>
  <c r="M97" i="8"/>
  <c r="I97" i="8"/>
  <c r="I96" i="8" s="1"/>
  <c r="C97" i="8"/>
  <c r="C96" i="8" s="1"/>
  <c r="K96" i="8"/>
  <c r="J96" i="8"/>
  <c r="H96" i="8"/>
  <c r="G96" i="8"/>
  <c r="F96" i="8"/>
  <c r="E96" i="8"/>
  <c r="D96" i="8"/>
  <c r="N93" i="8"/>
  <c r="M93" i="8"/>
  <c r="M92" i="8" s="1"/>
  <c r="I93" i="8"/>
  <c r="F93" i="8"/>
  <c r="C93" i="8"/>
  <c r="C92" i="8" s="1"/>
  <c r="K92" i="8"/>
  <c r="J92" i="8"/>
  <c r="H92" i="8"/>
  <c r="G92" i="8"/>
  <c r="E92" i="8"/>
  <c r="D92" i="8"/>
  <c r="N91" i="8"/>
  <c r="M91" i="8"/>
  <c r="I91" i="8"/>
  <c r="F91" i="8"/>
  <c r="C91" i="8"/>
  <c r="N90" i="8"/>
  <c r="M90" i="8"/>
  <c r="I90" i="8"/>
  <c r="F90" i="8"/>
  <c r="C90" i="8"/>
  <c r="K89" i="8"/>
  <c r="J89" i="8"/>
  <c r="H89" i="8"/>
  <c r="G89" i="8"/>
  <c r="E89" i="8"/>
  <c r="D89" i="8"/>
  <c r="N88" i="8"/>
  <c r="N87" i="8" s="1"/>
  <c r="M88" i="8"/>
  <c r="M87" i="8" s="1"/>
  <c r="I88" i="8"/>
  <c r="I87" i="8" s="1"/>
  <c r="F88" i="8"/>
  <c r="F87" i="8" s="1"/>
  <c r="C88" i="8"/>
  <c r="C87" i="8" s="1"/>
  <c r="K87" i="8"/>
  <c r="J87" i="8"/>
  <c r="H87" i="8"/>
  <c r="G87" i="8"/>
  <c r="E87" i="8"/>
  <c r="D87" i="8"/>
  <c r="N86" i="8"/>
  <c r="M86" i="8"/>
  <c r="F86" i="8"/>
  <c r="N85" i="8"/>
  <c r="M85" i="8"/>
  <c r="M84" i="8" s="1"/>
  <c r="F85" i="8"/>
  <c r="F84" i="8" s="1"/>
  <c r="C85" i="8"/>
  <c r="C84" i="8" s="1"/>
  <c r="K84" i="8"/>
  <c r="J84" i="8"/>
  <c r="I84" i="8"/>
  <c r="H84" i="8"/>
  <c r="G84" i="8"/>
  <c r="E84" i="8"/>
  <c r="D84" i="8"/>
  <c r="N83" i="8"/>
  <c r="N82" i="8" s="1"/>
  <c r="M83" i="8"/>
  <c r="M82" i="8" s="1"/>
  <c r="I83" i="8"/>
  <c r="I82" i="8" s="1"/>
  <c r="F83" i="8"/>
  <c r="F82" i="8" s="1"/>
  <c r="C83" i="8"/>
  <c r="C82" i="8" s="1"/>
  <c r="K82" i="8"/>
  <c r="J82" i="8"/>
  <c r="H82" i="8"/>
  <c r="G82" i="8"/>
  <c r="E82" i="8"/>
  <c r="D82" i="8"/>
  <c r="N81" i="8"/>
  <c r="M81" i="8"/>
  <c r="I81" i="8"/>
  <c r="F81" i="8"/>
  <c r="C81" i="8"/>
  <c r="N78" i="8"/>
  <c r="M78" i="8"/>
  <c r="I78" i="8"/>
  <c r="F78" i="8"/>
  <c r="C78" i="8"/>
  <c r="N77" i="8"/>
  <c r="M77" i="8"/>
  <c r="I77" i="8"/>
  <c r="F77" i="8"/>
  <c r="C77" i="8"/>
  <c r="K76" i="8"/>
  <c r="J76" i="8"/>
  <c r="H76" i="8"/>
  <c r="G76" i="8"/>
  <c r="E76" i="8"/>
  <c r="D76" i="8"/>
  <c r="N75" i="8"/>
  <c r="N24" i="8" s="1"/>
  <c r="M75" i="8"/>
  <c r="I75" i="8"/>
  <c r="F75" i="8"/>
  <c r="F24" i="8" s="1"/>
  <c r="C75" i="8"/>
  <c r="C24" i="8" s="1"/>
  <c r="N74" i="8"/>
  <c r="M74" i="8"/>
  <c r="I74" i="8"/>
  <c r="F74" i="8"/>
  <c r="C74" i="8"/>
  <c r="K73" i="8"/>
  <c r="J73" i="8"/>
  <c r="H73" i="8"/>
  <c r="G73" i="8"/>
  <c r="E73" i="8"/>
  <c r="D73" i="8"/>
  <c r="N72" i="8"/>
  <c r="M72" i="8"/>
  <c r="I72" i="8"/>
  <c r="F72" i="8"/>
  <c r="C72" i="8"/>
  <c r="N71" i="8"/>
  <c r="M71" i="8"/>
  <c r="I71" i="8"/>
  <c r="F71" i="8"/>
  <c r="C71" i="8"/>
  <c r="K70" i="8"/>
  <c r="J70" i="8"/>
  <c r="H70" i="8"/>
  <c r="G70" i="8"/>
  <c r="E70" i="8"/>
  <c r="D70" i="8"/>
  <c r="N69" i="8"/>
  <c r="M69" i="8"/>
  <c r="I69" i="8"/>
  <c r="F69" i="8"/>
  <c r="C69" i="8"/>
  <c r="N67" i="8"/>
  <c r="M67" i="8"/>
  <c r="F67" i="8"/>
  <c r="C67" i="8"/>
  <c r="N66" i="8"/>
  <c r="M66" i="8"/>
  <c r="F66" i="8"/>
  <c r="F65" i="8" s="1"/>
  <c r="F64" i="8" s="1"/>
  <c r="F63" i="8" s="1"/>
  <c r="C66" i="8"/>
  <c r="K65" i="8"/>
  <c r="K64" i="8" s="1"/>
  <c r="K63" i="8" s="1"/>
  <c r="J65" i="8"/>
  <c r="J64" i="8" s="1"/>
  <c r="J63" i="8" s="1"/>
  <c r="I65" i="8"/>
  <c r="I64" i="8" s="1"/>
  <c r="I63" i="8" s="1"/>
  <c r="H65" i="8"/>
  <c r="H64" i="8" s="1"/>
  <c r="H63" i="8" s="1"/>
  <c r="G65" i="8"/>
  <c r="G64" i="8" s="1"/>
  <c r="G63" i="8" s="1"/>
  <c r="E65" i="8"/>
  <c r="E64" i="8" s="1"/>
  <c r="E63" i="8" s="1"/>
  <c r="D65" i="8"/>
  <c r="D64" i="8" s="1"/>
  <c r="D63" i="8" s="1"/>
  <c r="N61" i="8"/>
  <c r="M61" i="8"/>
  <c r="L61" i="8" s="1"/>
  <c r="I61" i="8"/>
  <c r="F61" i="8"/>
  <c r="F60" i="8" s="1"/>
  <c r="C61" i="8"/>
  <c r="C60" i="8" s="1"/>
  <c r="K60" i="8"/>
  <c r="J60" i="8"/>
  <c r="H60" i="8"/>
  <c r="G60" i="8"/>
  <c r="E60" i="8"/>
  <c r="D60" i="8"/>
  <c r="N59" i="8"/>
  <c r="M59" i="8"/>
  <c r="F59" i="8"/>
  <c r="C59" i="8"/>
  <c r="N58" i="8"/>
  <c r="M58" i="8"/>
  <c r="F58" i="8"/>
  <c r="C58" i="8"/>
  <c r="N57" i="8"/>
  <c r="M57" i="8"/>
  <c r="F57" i="8"/>
  <c r="C57" i="8"/>
  <c r="C18" i="8" s="1"/>
  <c r="K56" i="8"/>
  <c r="K55" i="8" s="1"/>
  <c r="J56" i="8"/>
  <c r="J55" i="8" s="1"/>
  <c r="I56" i="8"/>
  <c r="I55" i="8" s="1"/>
  <c r="H56" i="8"/>
  <c r="H55" i="8" s="1"/>
  <c r="G56" i="8"/>
  <c r="G55" i="8" s="1"/>
  <c r="E56" i="8"/>
  <c r="E55" i="8" s="1"/>
  <c r="D56" i="8"/>
  <c r="D55" i="8" s="1"/>
  <c r="N54" i="8"/>
  <c r="M54" i="8"/>
  <c r="I54" i="8"/>
  <c r="F54" i="8"/>
  <c r="C54" i="8"/>
  <c r="N53" i="8"/>
  <c r="M53" i="8"/>
  <c r="I53" i="8"/>
  <c r="F53" i="8"/>
  <c r="F14" i="8" s="1"/>
  <c r="C53" i="8"/>
  <c r="K52" i="8"/>
  <c r="J52" i="8"/>
  <c r="H52" i="8"/>
  <c r="G52" i="8"/>
  <c r="E52" i="8"/>
  <c r="D52" i="8"/>
  <c r="N51" i="8"/>
  <c r="M51" i="8"/>
  <c r="I51" i="8"/>
  <c r="F51" i="8"/>
  <c r="C51" i="8"/>
  <c r="N47" i="8"/>
  <c r="M47" i="8"/>
  <c r="F47" i="8"/>
  <c r="C47" i="8"/>
  <c r="N46" i="8"/>
  <c r="M46" i="8"/>
  <c r="F46" i="8"/>
  <c r="C46" i="8"/>
  <c r="I45" i="8"/>
  <c r="H45" i="8"/>
  <c r="H42" i="8" s="1"/>
  <c r="H41" i="8" s="1"/>
  <c r="G45" i="8"/>
  <c r="G42" i="8" s="1"/>
  <c r="G41" i="8" s="1"/>
  <c r="N44" i="8"/>
  <c r="M44" i="8"/>
  <c r="M43" i="8" s="1"/>
  <c r="I44" i="8"/>
  <c r="I43" i="8" s="1"/>
  <c r="K43" i="8"/>
  <c r="K42" i="8" s="1"/>
  <c r="K41" i="8" s="1"/>
  <c r="J43" i="8"/>
  <c r="J42" i="8" s="1"/>
  <c r="J41" i="8" s="1"/>
  <c r="E42" i="8"/>
  <c r="E41" i="8" s="1"/>
  <c r="D42" i="8"/>
  <c r="D41" i="8" s="1"/>
  <c r="N40" i="8"/>
  <c r="M40" i="8"/>
  <c r="I40" i="8"/>
  <c r="L40" i="8" s="1"/>
  <c r="N39" i="8"/>
  <c r="M39" i="8"/>
  <c r="I39" i="8"/>
  <c r="L39" i="8" s="1"/>
  <c r="N38" i="8"/>
  <c r="M38" i="8"/>
  <c r="I38" i="8"/>
  <c r="K37" i="8"/>
  <c r="J37" i="8"/>
  <c r="H37" i="8"/>
  <c r="H36" i="8" s="1"/>
  <c r="G37" i="8"/>
  <c r="G36" i="8" s="1"/>
  <c r="F37" i="8"/>
  <c r="F36" i="8" s="1"/>
  <c r="E37" i="8"/>
  <c r="E36" i="8" s="1"/>
  <c r="D37" i="8"/>
  <c r="D36" i="8" s="1"/>
  <c r="C37" i="8"/>
  <c r="C36" i="8" s="1"/>
  <c r="K36" i="8"/>
  <c r="N35" i="8"/>
  <c r="M35" i="8"/>
  <c r="F35" i="8"/>
  <c r="N34" i="8"/>
  <c r="M34" i="8"/>
  <c r="F34" i="8"/>
  <c r="C34" i="8"/>
  <c r="N33" i="8"/>
  <c r="M33" i="8"/>
  <c r="F33" i="8"/>
  <c r="C33" i="8"/>
  <c r="K32" i="8"/>
  <c r="K31" i="8" s="1"/>
  <c r="J32" i="8"/>
  <c r="J31" i="8" s="1"/>
  <c r="I32" i="8"/>
  <c r="I31" i="8" s="1"/>
  <c r="H32" i="8"/>
  <c r="G32" i="8"/>
  <c r="G31" i="8" s="1"/>
  <c r="E32" i="8"/>
  <c r="D32" i="8"/>
  <c r="P29" i="8"/>
  <c r="O29" i="8"/>
  <c r="K27" i="8"/>
  <c r="J27" i="8"/>
  <c r="H27" i="8"/>
  <c r="G27" i="8"/>
  <c r="E27" i="8"/>
  <c r="D27" i="8"/>
  <c r="K26" i="8"/>
  <c r="J26" i="8"/>
  <c r="H26" i="8"/>
  <c r="H25" i="8" s="1"/>
  <c r="G26" i="8"/>
  <c r="E26" i="8"/>
  <c r="D26" i="8"/>
  <c r="K24" i="8"/>
  <c r="J24" i="8"/>
  <c r="H24" i="8"/>
  <c r="G24" i="8"/>
  <c r="E24" i="8"/>
  <c r="D24" i="8"/>
  <c r="K23" i="8"/>
  <c r="J23" i="8"/>
  <c r="H23" i="8"/>
  <c r="G23" i="8"/>
  <c r="E23" i="8"/>
  <c r="D23" i="8"/>
  <c r="K21" i="8"/>
  <c r="J21" i="8"/>
  <c r="I21" i="8"/>
  <c r="K20" i="8"/>
  <c r="J20" i="8"/>
  <c r="I20" i="8"/>
  <c r="H20" i="8"/>
  <c r="G20" i="8"/>
  <c r="E20" i="8"/>
  <c r="D20" i="8"/>
  <c r="K19" i="8"/>
  <c r="J19" i="8"/>
  <c r="I19" i="8"/>
  <c r="H19" i="8"/>
  <c r="G19" i="8"/>
  <c r="E19" i="8"/>
  <c r="D19" i="8"/>
  <c r="K18" i="8"/>
  <c r="J18" i="8"/>
  <c r="I18" i="8"/>
  <c r="H18" i="8"/>
  <c r="G18" i="8"/>
  <c r="E18" i="8"/>
  <c r="D18" i="8"/>
  <c r="K15" i="8"/>
  <c r="J15" i="8"/>
  <c r="H15" i="8"/>
  <c r="G15" i="8"/>
  <c r="E15" i="8"/>
  <c r="D15" i="8"/>
  <c r="K14" i="8"/>
  <c r="J14" i="8"/>
  <c r="H14" i="8"/>
  <c r="G14" i="8"/>
  <c r="E14" i="8"/>
  <c r="D14" i="8"/>
  <c r="D13" i="8" s="1"/>
  <c r="G158" i="7"/>
  <c r="C157" i="7"/>
  <c r="G157" i="7" s="1"/>
  <c r="E156" i="7"/>
  <c r="D156" i="7"/>
  <c r="C155" i="7"/>
  <c r="C154" i="7" s="1"/>
  <c r="E154" i="7"/>
  <c r="D154" i="7"/>
  <c r="C152" i="7"/>
  <c r="G152" i="7" s="1"/>
  <c r="G151" i="7"/>
  <c r="C150" i="7"/>
  <c r="G150" i="7" s="1"/>
  <c r="E149" i="7"/>
  <c r="D149" i="7"/>
  <c r="C148" i="7"/>
  <c r="G148" i="7" s="1"/>
  <c r="E147" i="7"/>
  <c r="D147" i="7"/>
  <c r="I145" i="7"/>
  <c r="C144" i="7"/>
  <c r="C143" i="7" s="1"/>
  <c r="G143" i="7" s="1"/>
  <c r="E143" i="7"/>
  <c r="D143" i="7"/>
  <c r="C142" i="7"/>
  <c r="G142" i="7" s="1"/>
  <c r="E141" i="7"/>
  <c r="D141" i="7"/>
  <c r="C140" i="7"/>
  <c r="G140" i="7" s="1"/>
  <c r="C139" i="7"/>
  <c r="G139" i="7" s="1"/>
  <c r="E138" i="7"/>
  <c r="E136" i="7" s="1"/>
  <c r="D138" i="7"/>
  <c r="C137" i="7"/>
  <c r="G137" i="7" s="1"/>
  <c r="G135" i="7"/>
  <c r="C134" i="7"/>
  <c r="G134" i="7" s="1"/>
  <c r="E133" i="7"/>
  <c r="E132" i="7" s="1"/>
  <c r="D133" i="7"/>
  <c r="D132" i="7" s="1"/>
  <c r="G131" i="7"/>
  <c r="G130" i="7"/>
  <c r="E129" i="7"/>
  <c r="E128" i="7" s="1"/>
  <c r="D129" i="7"/>
  <c r="C127" i="7"/>
  <c r="G127" i="7" s="1"/>
  <c r="E126" i="7"/>
  <c r="D126" i="7"/>
  <c r="E125" i="7"/>
  <c r="D125" i="7"/>
  <c r="C122" i="7"/>
  <c r="C121" i="7" s="1"/>
  <c r="G121" i="7" s="1"/>
  <c r="E121" i="7"/>
  <c r="D121" i="7"/>
  <c r="C120" i="7"/>
  <c r="G120" i="7" s="1"/>
  <c r="F119" i="7"/>
  <c r="E119" i="7"/>
  <c r="D119" i="7"/>
  <c r="E118" i="7"/>
  <c r="E22" i="7" s="1"/>
  <c r="D118" i="7"/>
  <c r="D22" i="7" s="1"/>
  <c r="C117" i="7"/>
  <c r="G117" i="7" s="1"/>
  <c r="G116" i="7"/>
  <c r="G115" i="7"/>
  <c r="F114" i="7"/>
  <c r="F113" i="7" s="1"/>
  <c r="F112" i="7" s="1"/>
  <c r="E114" i="7"/>
  <c r="E113" i="7" s="1"/>
  <c r="C114" i="7"/>
  <c r="D113" i="7"/>
  <c r="F111" i="7"/>
  <c r="G111" i="7" s="1"/>
  <c r="F110" i="7"/>
  <c r="F109" i="7" s="1"/>
  <c r="C110" i="7"/>
  <c r="C109" i="7" s="1"/>
  <c r="E109" i="7"/>
  <c r="D109" i="7"/>
  <c r="F108" i="7"/>
  <c r="C108" i="7"/>
  <c r="F107" i="7"/>
  <c r="D107" i="7"/>
  <c r="D106" i="7" s="1"/>
  <c r="E105" i="7"/>
  <c r="F104" i="7"/>
  <c r="F103" i="7" s="1"/>
  <c r="E103" i="7"/>
  <c r="D103" i="7"/>
  <c r="C103" i="7"/>
  <c r="F101" i="7"/>
  <c r="G101" i="7" s="1"/>
  <c r="C100" i="7"/>
  <c r="F99" i="7"/>
  <c r="F97" i="7" s="1"/>
  <c r="D99" i="7"/>
  <c r="D97" i="7" s="1"/>
  <c r="C98" i="7"/>
  <c r="G98" i="7" s="1"/>
  <c r="E97" i="7"/>
  <c r="F95" i="7"/>
  <c r="C95" i="7"/>
  <c r="C94" i="7" s="1"/>
  <c r="E94" i="7"/>
  <c r="D94" i="7"/>
  <c r="F93" i="7"/>
  <c r="C93" i="7"/>
  <c r="C92" i="7"/>
  <c r="G92" i="7" s="1"/>
  <c r="C91" i="7"/>
  <c r="E90" i="7"/>
  <c r="E89" i="7" s="1"/>
  <c r="D90" i="7"/>
  <c r="D89" i="7" s="1"/>
  <c r="C88" i="7"/>
  <c r="G88" i="7" s="1"/>
  <c r="E87" i="7"/>
  <c r="D87" i="7"/>
  <c r="C86" i="7"/>
  <c r="C84" i="7"/>
  <c r="G84" i="7" s="1"/>
  <c r="C83" i="7"/>
  <c r="G83" i="7" s="1"/>
  <c r="E82" i="7"/>
  <c r="D82" i="7"/>
  <c r="I81" i="7"/>
  <c r="I83" i="7" s="1"/>
  <c r="I84" i="7" s="1"/>
  <c r="I86" i="7" s="1"/>
  <c r="C81" i="7"/>
  <c r="C80" i="7" s="1"/>
  <c r="G80" i="7" s="1"/>
  <c r="D80" i="7"/>
  <c r="C79" i="7"/>
  <c r="G79" i="7" s="1"/>
  <c r="F78" i="7"/>
  <c r="F77" i="7" s="1"/>
  <c r="F76" i="7" s="1"/>
  <c r="F74" i="7" s="1"/>
  <c r="C78" i="7"/>
  <c r="C77" i="7" s="1"/>
  <c r="E77" i="7"/>
  <c r="E76" i="7" s="1"/>
  <c r="D77" i="7"/>
  <c r="D76" i="7" s="1"/>
  <c r="C75" i="7"/>
  <c r="G75" i="7" s="1"/>
  <c r="I72" i="7"/>
  <c r="F72" i="7"/>
  <c r="F70" i="7" s="1"/>
  <c r="C72" i="7"/>
  <c r="D71" i="7"/>
  <c r="D70" i="7" s="1"/>
  <c r="E70" i="7"/>
  <c r="C69" i="7"/>
  <c r="C68" i="7"/>
  <c r="G68" i="7" s="1"/>
  <c r="D67" i="7"/>
  <c r="C67" i="7" s="1"/>
  <c r="D66" i="7"/>
  <c r="D20" i="7" s="1"/>
  <c r="F65" i="7"/>
  <c r="G65" i="7" s="1"/>
  <c r="C64" i="7"/>
  <c r="E63" i="7"/>
  <c r="C62" i="7"/>
  <c r="E61" i="7"/>
  <c r="D61" i="7"/>
  <c r="F60" i="7"/>
  <c r="C60" i="7"/>
  <c r="C59" i="7"/>
  <c r="C11" i="7" s="1"/>
  <c r="F56" i="7"/>
  <c r="C56" i="7"/>
  <c r="F55" i="7"/>
  <c r="C55" i="7"/>
  <c r="E54" i="7"/>
  <c r="E53" i="7" s="1"/>
  <c r="E52" i="7" s="1"/>
  <c r="E51" i="7" s="1"/>
  <c r="D54" i="7"/>
  <c r="D53" i="7" s="1"/>
  <c r="D52" i="7" s="1"/>
  <c r="D51" i="7" s="1"/>
  <c r="F50" i="7"/>
  <c r="G50" i="7" s="1"/>
  <c r="F49" i="7"/>
  <c r="C49" i="7"/>
  <c r="F48" i="7"/>
  <c r="C48" i="7"/>
  <c r="E47" i="7"/>
  <c r="E46" i="7" s="1"/>
  <c r="D47" i="7"/>
  <c r="D46" i="7" s="1"/>
  <c r="F45" i="7"/>
  <c r="F44" i="7" s="1"/>
  <c r="C45" i="7"/>
  <c r="C44" i="7" s="1"/>
  <c r="E44" i="7"/>
  <c r="D44" i="7"/>
  <c r="F40" i="7"/>
  <c r="G40" i="7" s="1"/>
  <c r="F39" i="7"/>
  <c r="G39" i="7" s="1"/>
  <c r="E38" i="7"/>
  <c r="E37" i="7" s="1"/>
  <c r="E36" i="7" s="1"/>
  <c r="D38" i="7"/>
  <c r="D37" i="7" s="1"/>
  <c r="D36" i="7" s="1"/>
  <c r="C38" i="7"/>
  <c r="C37" i="7" s="1"/>
  <c r="C36" i="7" s="1"/>
  <c r="F32" i="7"/>
  <c r="F31" i="7" s="1"/>
  <c r="E32" i="7"/>
  <c r="D32" i="7"/>
  <c r="D31" i="7" s="1"/>
  <c r="C32" i="7"/>
  <c r="C31" i="7" s="1"/>
  <c r="H31" i="7"/>
  <c r="E28" i="7"/>
  <c r="D28" i="7"/>
  <c r="E27" i="7"/>
  <c r="F25" i="7"/>
  <c r="E25" i="7"/>
  <c r="D25" i="7"/>
  <c r="F24" i="7"/>
  <c r="E24" i="7"/>
  <c r="D24" i="7"/>
  <c r="E21" i="7"/>
  <c r="F20" i="7"/>
  <c r="E20" i="7"/>
  <c r="E19" i="7"/>
  <c r="E18" i="7"/>
  <c r="D18" i="7"/>
  <c r="E15" i="7"/>
  <c r="D15" i="7"/>
  <c r="E14" i="7"/>
  <c r="D14" i="7"/>
  <c r="F11" i="7"/>
  <c r="E11" i="7"/>
  <c r="D11" i="7"/>
  <c r="L75" i="8" l="1"/>
  <c r="L24" i="8" s="1"/>
  <c r="G49" i="7"/>
  <c r="G56" i="7"/>
  <c r="C97" i="7"/>
  <c r="G97" i="7" s="1"/>
  <c r="G13" i="8"/>
  <c r="E25" i="9"/>
  <c r="E112" i="7"/>
  <c r="E85" i="7"/>
  <c r="C20" i="8"/>
  <c r="M42" i="9"/>
  <c r="C73" i="8"/>
  <c r="C76" i="8"/>
  <c r="G24" i="9"/>
  <c r="N14" i="8"/>
  <c r="C66" i="7"/>
  <c r="C20" i="7" s="1"/>
  <c r="D23" i="7"/>
  <c r="I14" i="8"/>
  <c r="J11" i="9"/>
  <c r="L20" i="9"/>
  <c r="D146" i="7"/>
  <c r="D145" i="7" s="1"/>
  <c r="F20" i="8"/>
  <c r="F131" i="8"/>
  <c r="D136" i="7"/>
  <c r="E146" i="7"/>
  <c r="E145" i="7" s="1"/>
  <c r="L57" i="8"/>
  <c r="E11" i="8"/>
  <c r="G60" i="7"/>
  <c r="C125" i="7"/>
  <c r="G125" i="7" s="1"/>
  <c r="C23" i="8"/>
  <c r="C22" i="8" s="1"/>
  <c r="L35" i="9"/>
  <c r="L34" i="9" s="1"/>
  <c r="D22" i="8"/>
  <c r="H17" i="8"/>
  <c r="L101" i="8"/>
  <c r="I127" i="8"/>
  <c r="I126" i="8" s="1"/>
  <c r="G95" i="7"/>
  <c r="G22" i="8"/>
  <c r="C98" i="8"/>
  <c r="D25" i="9"/>
  <c r="E58" i="7"/>
  <c r="E57" i="7" s="1"/>
  <c r="K17" i="8"/>
  <c r="K16" i="8" s="1"/>
  <c r="D12" i="7"/>
  <c r="F106" i="7"/>
  <c r="F105" i="7" s="1"/>
  <c r="F102" i="7" s="1"/>
  <c r="F96" i="7" s="1"/>
  <c r="G122" i="7"/>
  <c r="D153" i="7"/>
  <c r="E25" i="8"/>
  <c r="F56" i="8"/>
  <c r="F55" i="8" s="1"/>
  <c r="I70" i="8"/>
  <c r="L110" i="8"/>
  <c r="C129" i="8"/>
  <c r="D16" i="9"/>
  <c r="D15" i="9" s="1"/>
  <c r="J16" i="9"/>
  <c r="J15" i="9" s="1"/>
  <c r="F19" i="9"/>
  <c r="F16" i="9" s="1"/>
  <c r="F15" i="9" s="1"/>
  <c r="F10" i="9" s="1"/>
  <c r="D30" i="9"/>
  <c r="K37" i="9"/>
  <c r="K36" i="9" s="1"/>
  <c r="C56" i="8"/>
  <c r="C55" i="8" s="1"/>
  <c r="M34" i="9"/>
  <c r="M30" i="9" s="1"/>
  <c r="F22" i="7"/>
  <c r="E26" i="7"/>
  <c r="D30" i="7"/>
  <c r="D25" i="8"/>
  <c r="N18" i="8"/>
  <c r="L100" i="8"/>
  <c r="L99" i="8" s="1"/>
  <c r="L98" i="8" s="1"/>
  <c r="G11" i="8"/>
  <c r="K16" i="9"/>
  <c r="K15" i="9" s="1"/>
  <c r="E17" i="7"/>
  <c r="E16" i="7" s="1"/>
  <c r="D74" i="7"/>
  <c r="D73" i="7" s="1"/>
  <c r="C133" i="7"/>
  <c r="C132" i="7" s="1"/>
  <c r="G132" i="7" s="1"/>
  <c r="C138" i="7"/>
  <c r="G138" i="7" s="1"/>
  <c r="K12" i="8"/>
  <c r="C26" i="8"/>
  <c r="C65" i="8"/>
  <c r="C64" i="8" s="1"/>
  <c r="C63" i="8" s="1"/>
  <c r="L91" i="8"/>
  <c r="C113" i="8"/>
  <c r="C116" i="8"/>
  <c r="C19" i="9"/>
  <c r="C16" i="9" s="1"/>
  <c r="C15" i="9" s="1"/>
  <c r="L22" i="9"/>
  <c r="I31" i="9"/>
  <c r="C28" i="7"/>
  <c r="H13" i="8"/>
  <c r="J17" i="8"/>
  <c r="J16" i="8" s="1"/>
  <c r="L44" i="8"/>
  <c r="L103" i="8"/>
  <c r="L102" i="8" s="1"/>
  <c r="K11" i="8"/>
  <c r="C132" i="8"/>
  <c r="C131" i="8" s="1"/>
  <c r="H11" i="9"/>
  <c r="M60" i="8"/>
  <c r="F73" i="8"/>
  <c r="F14" i="7"/>
  <c r="F23" i="7"/>
  <c r="C47" i="7"/>
  <c r="C46" i="7" s="1"/>
  <c r="C43" i="7" s="1"/>
  <c r="C42" i="7" s="1"/>
  <c r="C54" i="7"/>
  <c r="C53" i="7" s="1"/>
  <c r="C52" i="7" s="1"/>
  <c r="C51" i="7" s="1"/>
  <c r="G21" i="8"/>
  <c r="H22" i="8"/>
  <c r="J22" i="8"/>
  <c r="M52" i="8"/>
  <c r="H80" i="8"/>
  <c r="H79" i="8" s="1"/>
  <c r="G125" i="8"/>
  <c r="K11" i="9"/>
  <c r="E16" i="9"/>
  <c r="E15" i="9" s="1"/>
  <c r="E10" i="9" s="1"/>
  <c r="H25" i="9"/>
  <c r="C118" i="7"/>
  <c r="C22" i="7" s="1"/>
  <c r="E124" i="7"/>
  <c r="E123" i="7" s="1"/>
  <c r="D17" i="8"/>
  <c r="D16" i="8" s="1"/>
  <c r="N70" i="8"/>
  <c r="G95" i="8"/>
  <c r="G94" i="8" s="1"/>
  <c r="G105" i="8"/>
  <c r="G16" i="9"/>
  <c r="G15" i="9" s="1"/>
  <c r="D31" i="9"/>
  <c r="D85" i="7"/>
  <c r="E153" i="7"/>
  <c r="E12" i="8"/>
  <c r="C52" i="8"/>
  <c r="C50" i="8" s="1"/>
  <c r="C49" i="8" s="1"/>
  <c r="N73" i="8"/>
  <c r="K80" i="8"/>
  <c r="K79" i="8" s="1"/>
  <c r="K95" i="8"/>
  <c r="K94" i="8" s="1"/>
  <c r="J115" i="8"/>
  <c r="I115" i="8" s="1"/>
  <c r="I112" i="8" s="1"/>
  <c r="E118" i="8"/>
  <c r="E112" i="8" s="1"/>
  <c r="H16" i="9"/>
  <c r="H15" i="9" s="1"/>
  <c r="J25" i="9"/>
  <c r="G114" i="7"/>
  <c r="C149" i="7"/>
  <c r="G149" i="7" s="1"/>
  <c r="L69" i="8"/>
  <c r="D80" i="8"/>
  <c r="D79" i="8" s="1"/>
  <c r="H112" i="8"/>
  <c r="F120" i="8"/>
  <c r="N131" i="8"/>
  <c r="F26" i="8"/>
  <c r="L14" i="9"/>
  <c r="L13" i="9" s="1"/>
  <c r="L11" i="9" s="1"/>
  <c r="D24" i="9"/>
  <c r="K25" i="9"/>
  <c r="G31" i="9"/>
  <c r="J30" i="9"/>
  <c r="F15" i="7"/>
  <c r="D27" i="7"/>
  <c r="D26" i="7" s="1"/>
  <c r="C90" i="7"/>
  <c r="G90" i="7" s="1"/>
  <c r="J25" i="8"/>
  <c r="I42" i="8"/>
  <c r="I41" i="8" s="1"/>
  <c r="J106" i="8"/>
  <c r="J105" i="8" s="1"/>
  <c r="F109" i="8"/>
  <c r="C115" i="8"/>
  <c r="L140" i="8"/>
  <c r="L139" i="8" s="1"/>
  <c r="L21" i="9"/>
  <c r="H31" i="9"/>
  <c r="M12" i="9"/>
  <c r="M11" i="9"/>
  <c r="D10" i="9"/>
  <c r="F31" i="9"/>
  <c r="F30" i="9"/>
  <c r="N12" i="9"/>
  <c r="N11" i="9"/>
  <c r="I12" i="9"/>
  <c r="I11" i="9"/>
  <c r="I16" i="9"/>
  <c r="I15" i="9" s="1"/>
  <c r="G50" i="8"/>
  <c r="G49" i="8" s="1"/>
  <c r="G59" i="7"/>
  <c r="G11" i="7" s="1"/>
  <c r="E74" i="7"/>
  <c r="C99" i="7"/>
  <c r="G99" i="7" s="1"/>
  <c r="G108" i="7"/>
  <c r="D11" i="8"/>
  <c r="N20" i="8"/>
  <c r="M32" i="8"/>
  <c r="M31" i="8" s="1"/>
  <c r="L51" i="8"/>
  <c r="I24" i="9"/>
  <c r="G30" i="9"/>
  <c r="I30" i="9"/>
  <c r="E37" i="9"/>
  <c r="E36" i="9" s="1"/>
  <c r="G44" i="7"/>
  <c r="F12" i="7"/>
  <c r="G93" i="7"/>
  <c r="G144" i="7"/>
  <c r="G24" i="7" s="1"/>
  <c r="K13" i="8"/>
  <c r="E17" i="8"/>
  <c r="E16" i="8" s="1"/>
  <c r="J68" i="8"/>
  <c r="J62" i="8" s="1"/>
  <c r="D95" i="8"/>
  <c r="D94" i="8" s="1"/>
  <c r="I128" i="8"/>
  <c r="I125" i="8" s="1"/>
  <c r="N136" i="8"/>
  <c r="N21" i="8" s="1"/>
  <c r="J24" i="9"/>
  <c r="K30" i="9"/>
  <c r="J37" i="9"/>
  <c r="J36" i="9" s="1"/>
  <c r="D43" i="7"/>
  <c r="D42" i="7" s="1"/>
  <c r="G78" i="7"/>
  <c r="F18" i="8"/>
  <c r="K22" i="8"/>
  <c r="N37" i="8"/>
  <c r="N36" i="8" s="1"/>
  <c r="M26" i="8"/>
  <c r="N19" i="8"/>
  <c r="N17" i="8" s="1"/>
  <c r="E131" i="8"/>
  <c r="E125" i="8" s="1"/>
  <c r="D12" i="9"/>
  <c r="K24" i="9"/>
  <c r="H37" i="9"/>
  <c r="H36" i="9" s="1"/>
  <c r="G81" i="7"/>
  <c r="H30" i="9"/>
  <c r="E43" i="7"/>
  <c r="E42" i="7" s="1"/>
  <c r="G17" i="8"/>
  <c r="G16" i="8" s="1"/>
  <c r="N23" i="8"/>
  <c r="N22" i="8" s="1"/>
  <c r="M15" i="8"/>
  <c r="C123" i="8"/>
  <c r="E12" i="9"/>
  <c r="C30" i="9"/>
  <c r="D37" i="9"/>
  <c r="D36" i="9" s="1"/>
  <c r="L78" i="8"/>
  <c r="D19" i="7"/>
  <c r="D17" i="7" s="1"/>
  <c r="G45" i="7"/>
  <c r="E13" i="7"/>
  <c r="F94" i="7"/>
  <c r="G94" i="7" s="1"/>
  <c r="G110" i="7"/>
  <c r="E13" i="8"/>
  <c r="G25" i="8"/>
  <c r="N15" i="8"/>
  <c r="I89" i="8"/>
  <c r="I80" i="8" s="1"/>
  <c r="I107" i="8"/>
  <c r="K112" i="8"/>
  <c r="F12" i="9"/>
  <c r="N19" i="9"/>
  <c r="N16" i="9" s="1"/>
  <c r="N15" i="9" s="1"/>
  <c r="N10" i="9" s="1"/>
  <c r="C41" i="9"/>
  <c r="C40" i="9" s="1"/>
  <c r="C37" i="9" s="1"/>
  <c r="C36" i="9" s="1"/>
  <c r="D13" i="7"/>
  <c r="F21" i="7"/>
  <c r="G72" i="7"/>
  <c r="G28" i="7" s="1"/>
  <c r="C141" i="7"/>
  <c r="G141" i="7" s="1"/>
  <c r="F15" i="8"/>
  <c r="F13" i="8" s="1"/>
  <c r="E22" i="8"/>
  <c r="L33" i="8"/>
  <c r="N43" i="8"/>
  <c r="F27" i="8"/>
  <c r="M89" i="8"/>
  <c r="M80" i="8" s="1"/>
  <c r="M79" i="8" s="1"/>
  <c r="E95" i="8"/>
  <c r="E94" i="8" s="1"/>
  <c r="F139" i="8"/>
  <c r="M41" i="9"/>
  <c r="M40" i="9" s="1"/>
  <c r="C24" i="7"/>
  <c r="H24" i="9"/>
  <c r="E23" i="7"/>
  <c r="C15" i="7"/>
  <c r="C18" i="7"/>
  <c r="E102" i="7"/>
  <c r="E96" i="7" s="1"/>
  <c r="C14" i="8"/>
  <c r="J50" i="8"/>
  <c r="J49" i="8" s="1"/>
  <c r="M56" i="8"/>
  <c r="M55" i="8" s="1"/>
  <c r="F95" i="8"/>
  <c r="F94" i="8" s="1"/>
  <c r="G12" i="8"/>
  <c r="F64" i="7"/>
  <c r="G64" i="7" s="1"/>
  <c r="F89" i="7"/>
  <c r="C129" i="7"/>
  <c r="G129" i="7" s="1"/>
  <c r="D12" i="8"/>
  <c r="N27" i="8"/>
  <c r="K50" i="8"/>
  <c r="K49" i="8" s="1"/>
  <c r="D125" i="8"/>
  <c r="G11" i="9"/>
  <c r="G25" i="9"/>
  <c r="E24" i="9"/>
  <c r="L29" i="9"/>
  <c r="L28" i="9" s="1"/>
  <c r="E30" i="9"/>
  <c r="I37" i="9"/>
  <c r="I36" i="9" s="1"/>
  <c r="N24" i="9"/>
  <c r="N25" i="9"/>
  <c r="C31" i="9"/>
  <c r="C12" i="9"/>
  <c r="C11" i="9"/>
  <c r="C25" i="9"/>
  <c r="C24" i="9"/>
  <c r="F24" i="9"/>
  <c r="F25" i="9"/>
  <c r="N31" i="9"/>
  <c r="N30" i="9"/>
  <c r="M25" i="9"/>
  <c r="M24" i="9"/>
  <c r="L27" i="9"/>
  <c r="L26" i="9" s="1"/>
  <c r="J31" i="9"/>
  <c r="L39" i="9"/>
  <c r="L38" i="9" s="1"/>
  <c r="N41" i="9"/>
  <c r="N40" i="9" s="1"/>
  <c r="N37" i="9" s="1"/>
  <c r="N36" i="9" s="1"/>
  <c r="M19" i="9"/>
  <c r="M16" i="9" s="1"/>
  <c r="M15" i="9" s="1"/>
  <c r="M10" i="9" s="1"/>
  <c r="F41" i="9"/>
  <c r="F40" i="9" s="1"/>
  <c r="F37" i="9" s="1"/>
  <c r="F36" i="9" s="1"/>
  <c r="I25" i="9"/>
  <c r="E31" i="9"/>
  <c r="L18" i="9"/>
  <c r="L17" i="9" s="1"/>
  <c r="L33" i="9"/>
  <c r="L32" i="9" s="1"/>
  <c r="G40" i="9"/>
  <c r="G37" i="9" s="1"/>
  <c r="G36" i="9" s="1"/>
  <c r="I17" i="8"/>
  <c r="I16" i="8" s="1"/>
  <c r="F45" i="8"/>
  <c r="F42" i="8" s="1"/>
  <c r="F41" i="8" s="1"/>
  <c r="M24" i="8"/>
  <c r="J13" i="8"/>
  <c r="H16" i="8"/>
  <c r="D21" i="8"/>
  <c r="F23" i="8"/>
  <c r="F22" i="8" s="1"/>
  <c r="D31" i="8"/>
  <c r="D30" i="8" s="1"/>
  <c r="H12" i="8"/>
  <c r="H10" i="8" s="1"/>
  <c r="L35" i="8"/>
  <c r="M37" i="8"/>
  <c r="M36" i="8" s="1"/>
  <c r="C45" i="8"/>
  <c r="C42" i="8" s="1"/>
  <c r="C41" i="8" s="1"/>
  <c r="F76" i="8"/>
  <c r="L83" i="8"/>
  <c r="L82" i="8" s="1"/>
  <c r="L88" i="8"/>
  <c r="L87" i="8" s="1"/>
  <c r="C89" i="8"/>
  <c r="C80" i="8" s="1"/>
  <c r="C79" i="8" s="1"/>
  <c r="J112" i="8"/>
  <c r="L135" i="8"/>
  <c r="L131" i="8" s="1"/>
  <c r="L138" i="8"/>
  <c r="L137" i="8" s="1"/>
  <c r="L86" i="8"/>
  <c r="C32" i="8"/>
  <c r="C31" i="8" s="1"/>
  <c r="C15" i="8"/>
  <c r="I23" i="8"/>
  <c r="N60" i="8"/>
  <c r="E68" i="8"/>
  <c r="E62" i="8" s="1"/>
  <c r="L71" i="8"/>
  <c r="L72" i="8"/>
  <c r="N76" i="8"/>
  <c r="M120" i="8"/>
  <c r="L120" i="8" s="1"/>
  <c r="L119" i="8" s="1"/>
  <c r="L118" i="8" s="1"/>
  <c r="C126" i="8"/>
  <c r="L130" i="8"/>
  <c r="L129" i="8" s="1"/>
  <c r="M45" i="8"/>
  <c r="M42" i="8" s="1"/>
  <c r="M41" i="8" s="1"/>
  <c r="K25" i="8"/>
  <c r="M23" i="8"/>
  <c r="L54" i="8"/>
  <c r="C70" i="8"/>
  <c r="F70" i="8"/>
  <c r="E80" i="8"/>
  <c r="E79" i="8" s="1"/>
  <c r="F89" i="8"/>
  <c r="F80" i="8" s="1"/>
  <c r="F108" i="8"/>
  <c r="C139" i="8"/>
  <c r="K30" i="8"/>
  <c r="L46" i="8"/>
  <c r="F52" i="8"/>
  <c r="E50" i="8"/>
  <c r="E49" i="8" s="1"/>
  <c r="I26" i="8"/>
  <c r="H95" i="8"/>
  <c r="H94" i="8" s="1"/>
  <c r="G80" i="8"/>
  <c r="G79" i="8" s="1"/>
  <c r="C95" i="8"/>
  <c r="C94" i="8" s="1"/>
  <c r="N105" i="8"/>
  <c r="D50" i="8"/>
  <c r="D49" i="8" s="1"/>
  <c r="H50" i="8"/>
  <c r="H49" i="8" s="1"/>
  <c r="M18" i="8"/>
  <c r="I60" i="8"/>
  <c r="G68" i="8"/>
  <c r="G62" i="8" s="1"/>
  <c r="I95" i="8"/>
  <c r="I94" i="8" s="1"/>
  <c r="N98" i="8"/>
  <c r="J126" i="8"/>
  <c r="J125" i="8" s="1"/>
  <c r="H125" i="8"/>
  <c r="H104" i="8" s="1"/>
  <c r="N26" i="8"/>
  <c r="I37" i="8"/>
  <c r="I36" i="8" s="1"/>
  <c r="L38" i="8"/>
  <c r="L37" i="8" s="1"/>
  <c r="L36" i="8" s="1"/>
  <c r="I52" i="8"/>
  <c r="M14" i="8"/>
  <c r="L93" i="8"/>
  <c r="L106" i="8"/>
  <c r="L105" i="8" s="1"/>
  <c r="L67" i="8"/>
  <c r="M65" i="8"/>
  <c r="M64" i="8" s="1"/>
  <c r="M63" i="8" s="1"/>
  <c r="F19" i="8"/>
  <c r="C27" i="8"/>
  <c r="C25" i="8" s="1"/>
  <c r="E31" i="8"/>
  <c r="E30" i="8" s="1"/>
  <c r="N52" i="8"/>
  <c r="L53" i="8"/>
  <c r="H68" i="8"/>
  <c r="H62" i="8" s="1"/>
  <c r="I92" i="8"/>
  <c r="K125" i="8"/>
  <c r="L34" i="8"/>
  <c r="N32" i="8"/>
  <c r="G30" i="8"/>
  <c r="L58" i="8"/>
  <c r="N56" i="8"/>
  <c r="N55" i="8" s="1"/>
  <c r="I76" i="8"/>
  <c r="I27" i="8"/>
  <c r="N92" i="8"/>
  <c r="J95" i="8"/>
  <c r="J94" i="8" s="1"/>
  <c r="I73" i="8"/>
  <c r="I24" i="8"/>
  <c r="F92" i="8"/>
  <c r="F11" i="8"/>
  <c r="H31" i="8"/>
  <c r="H30" i="8" s="1"/>
  <c r="F32" i="8"/>
  <c r="L47" i="8"/>
  <c r="N45" i="8"/>
  <c r="K68" i="8"/>
  <c r="K62" i="8" s="1"/>
  <c r="M73" i="8"/>
  <c r="L74" i="8"/>
  <c r="L73" i="8" s="1"/>
  <c r="I15" i="8"/>
  <c r="I13" i="8" s="1"/>
  <c r="F112" i="8"/>
  <c r="N112" i="8"/>
  <c r="C118" i="8"/>
  <c r="D112" i="8"/>
  <c r="M96" i="8"/>
  <c r="L97" i="8"/>
  <c r="L96" i="8" s="1"/>
  <c r="J36" i="8"/>
  <c r="J30" i="8" s="1"/>
  <c r="L66" i="8"/>
  <c r="N65" i="8"/>
  <c r="N64" i="8" s="1"/>
  <c r="N63" i="8" s="1"/>
  <c r="M27" i="8"/>
  <c r="L85" i="8"/>
  <c r="L84" i="8" s="1"/>
  <c r="N84" i="8"/>
  <c r="M20" i="8"/>
  <c r="L59" i="8"/>
  <c r="L81" i="8"/>
  <c r="J80" i="8"/>
  <c r="J79" i="8" s="1"/>
  <c r="L90" i="8"/>
  <c r="N89" i="8"/>
  <c r="C19" i="8"/>
  <c r="C17" i="8" s="1"/>
  <c r="L43" i="8"/>
  <c r="M70" i="8"/>
  <c r="D68" i="8"/>
  <c r="D62" i="8" s="1"/>
  <c r="M76" i="8"/>
  <c r="L77" i="8"/>
  <c r="E21" i="8"/>
  <c r="N102" i="8"/>
  <c r="L107" i="8"/>
  <c r="M108" i="8"/>
  <c r="M105" i="8" s="1"/>
  <c r="M114" i="8"/>
  <c r="M122" i="8"/>
  <c r="L124" i="8"/>
  <c r="L123" i="8" s="1"/>
  <c r="M127" i="8"/>
  <c r="N128" i="8"/>
  <c r="L128" i="8" s="1"/>
  <c r="F136" i="8"/>
  <c r="M137" i="8"/>
  <c r="M99" i="8"/>
  <c r="M98" i="8" s="1"/>
  <c r="N127" i="8"/>
  <c r="N126" i="8" s="1"/>
  <c r="M139" i="8"/>
  <c r="G118" i="8"/>
  <c r="G112" i="8" s="1"/>
  <c r="G104" i="8" s="1"/>
  <c r="D105" i="8"/>
  <c r="N129" i="8"/>
  <c r="M131" i="8"/>
  <c r="G67" i="7"/>
  <c r="G21" i="7" s="1"/>
  <c r="C21" i="7"/>
  <c r="G103" i="7"/>
  <c r="E12" i="7"/>
  <c r="E31" i="7"/>
  <c r="E30" i="7" s="1"/>
  <c r="G62" i="7"/>
  <c r="C14" i="7"/>
  <c r="C25" i="7"/>
  <c r="G69" i="7"/>
  <c r="C106" i="7"/>
  <c r="D105" i="7"/>
  <c r="D102" i="7" s="1"/>
  <c r="G154" i="7"/>
  <c r="C30" i="7"/>
  <c r="F38" i="7"/>
  <c r="F37" i="7" s="1"/>
  <c r="F36" i="7" s="1"/>
  <c r="F30" i="7" s="1"/>
  <c r="G38" i="7"/>
  <c r="G37" i="7" s="1"/>
  <c r="G36" i="7" s="1"/>
  <c r="G55" i="7"/>
  <c r="F54" i="7"/>
  <c r="G118" i="7"/>
  <c r="G22" i="7" s="1"/>
  <c r="F47" i="7"/>
  <c r="F46" i="7" s="1"/>
  <c r="F43" i="7" s="1"/>
  <c r="G48" i="7"/>
  <c r="F19" i="7"/>
  <c r="F28" i="7"/>
  <c r="C61" i="7"/>
  <c r="G61" i="7" s="1"/>
  <c r="G66" i="7"/>
  <c r="G20" i="7" s="1"/>
  <c r="G77" i="7"/>
  <c r="C76" i="7"/>
  <c r="G109" i="7"/>
  <c r="D21" i="7"/>
  <c r="F27" i="7"/>
  <c r="D63" i="7"/>
  <c r="D58" i="7" s="1"/>
  <c r="D57" i="7" s="1"/>
  <c r="C71" i="7"/>
  <c r="C82" i="7"/>
  <c r="G82" i="7" s="1"/>
  <c r="G86" i="7"/>
  <c r="G104" i="7"/>
  <c r="C113" i="7"/>
  <c r="G113" i="7" s="1"/>
  <c r="C147" i="7"/>
  <c r="G155" i="7"/>
  <c r="F100" i="7"/>
  <c r="G100" i="7" s="1"/>
  <c r="C119" i="7"/>
  <c r="G119" i="7" s="1"/>
  <c r="D128" i="7"/>
  <c r="D124" i="7" s="1"/>
  <c r="D123" i="7" s="1"/>
  <c r="C156" i="7"/>
  <c r="G156" i="7" s="1"/>
  <c r="C87" i="7"/>
  <c r="G87" i="7" s="1"/>
  <c r="G91" i="7"/>
  <c r="C107" i="7"/>
  <c r="C126" i="7"/>
  <c r="G126" i="7" s="1"/>
  <c r="G32" i="7"/>
  <c r="D112" i="7"/>
  <c r="C12" i="7" l="1"/>
  <c r="C112" i="7"/>
  <c r="G112" i="7" s="1"/>
  <c r="C63" i="7"/>
  <c r="N42" i="8"/>
  <c r="N41" i="8" s="1"/>
  <c r="J12" i="8"/>
  <c r="L12" i="9"/>
  <c r="C68" i="8"/>
  <c r="C62" i="8" s="1"/>
  <c r="M31" i="9"/>
  <c r="E73" i="7"/>
  <c r="N68" i="8"/>
  <c r="I106" i="8"/>
  <c r="I11" i="8" s="1"/>
  <c r="C16" i="8"/>
  <c r="N25" i="8"/>
  <c r="L60" i="8"/>
  <c r="M37" i="9"/>
  <c r="M36" i="9" s="1"/>
  <c r="M23" i="9" s="1"/>
  <c r="M9" i="9" s="1"/>
  <c r="N13" i="8"/>
  <c r="M25" i="8"/>
  <c r="F50" i="8"/>
  <c r="F49" i="8" s="1"/>
  <c r="C11" i="8"/>
  <c r="G23" i="9"/>
  <c r="J10" i="9"/>
  <c r="L27" i="8"/>
  <c r="M19" i="8"/>
  <c r="M17" i="8" s="1"/>
  <c r="M16" i="8" s="1"/>
  <c r="F63" i="7"/>
  <c r="F58" i="7" s="1"/>
  <c r="F57" i="7" s="1"/>
  <c r="F17" i="8"/>
  <c r="F16" i="8" s="1"/>
  <c r="M115" i="8"/>
  <c r="L115" i="8" s="1"/>
  <c r="G10" i="8"/>
  <c r="K104" i="8"/>
  <c r="K48" i="8" s="1"/>
  <c r="K29" i="8" s="1"/>
  <c r="G48" i="8"/>
  <c r="G9" i="8" s="1"/>
  <c r="K10" i="9"/>
  <c r="G133" i="7"/>
  <c r="M13" i="8"/>
  <c r="L19" i="9"/>
  <c r="L16" i="9" s="1"/>
  <c r="L15" i="9" s="1"/>
  <c r="L10" i="9" s="1"/>
  <c r="F85" i="7"/>
  <c r="F73" i="7" s="1"/>
  <c r="C136" i="7"/>
  <c r="G136" i="7" s="1"/>
  <c r="C89" i="7"/>
  <c r="G89" i="7" s="1"/>
  <c r="L89" i="8"/>
  <c r="C125" i="8"/>
  <c r="F25" i="8"/>
  <c r="C13" i="7"/>
  <c r="M30" i="8"/>
  <c r="M50" i="8"/>
  <c r="M49" i="8" s="1"/>
  <c r="K23" i="9"/>
  <c r="C10" i="9"/>
  <c r="N95" i="8"/>
  <c r="N94" i="8" s="1"/>
  <c r="C30" i="8"/>
  <c r="K10" i="8"/>
  <c r="M119" i="8"/>
  <c r="M118" i="8" s="1"/>
  <c r="I25" i="8"/>
  <c r="I30" i="8"/>
  <c r="F105" i="8"/>
  <c r="D23" i="9"/>
  <c r="D9" i="9" s="1"/>
  <c r="F18" i="7"/>
  <c r="F17" i="7" s="1"/>
  <c r="F16" i="7" s="1"/>
  <c r="G47" i="7"/>
  <c r="C23" i="7"/>
  <c r="L136" i="8"/>
  <c r="L95" i="8"/>
  <c r="L94" i="8" s="1"/>
  <c r="G10" i="9"/>
  <c r="F13" i="7"/>
  <c r="E10" i="7"/>
  <c r="C112" i="8"/>
  <c r="I50" i="8"/>
  <c r="I49" i="8" s="1"/>
  <c r="I79" i="8"/>
  <c r="H10" i="9"/>
  <c r="E41" i="7"/>
  <c r="E9" i="7" s="1"/>
  <c r="J104" i="8"/>
  <c r="J48" i="8" s="1"/>
  <c r="I10" i="9"/>
  <c r="L76" i="8"/>
  <c r="J11" i="8"/>
  <c r="J10" i="8" s="1"/>
  <c r="N23" i="9"/>
  <c r="N9" i="9" s="1"/>
  <c r="L32" i="8"/>
  <c r="L31" i="8" s="1"/>
  <c r="F68" i="8"/>
  <c r="F62" i="8" s="1"/>
  <c r="N16" i="8"/>
  <c r="C23" i="9"/>
  <c r="I22" i="8"/>
  <c r="H23" i="9"/>
  <c r="E10" i="8"/>
  <c r="C13" i="8"/>
  <c r="G25" i="7"/>
  <c r="G23" i="7" s="1"/>
  <c r="G15" i="7"/>
  <c r="L15" i="8"/>
  <c r="G18" i="7"/>
  <c r="M22" i="8"/>
  <c r="E23" i="9"/>
  <c r="E9" i="9" s="1"/>
  <c r="I23" i="9"/>
  <c r="E104" i="8"/>
  <c r="E48" i="8" s="1"/>
  <c r="J23" i="9"/>
  <c r="C128" i="7"/>
  <c r="G128" i="7" s="1"/>
  <c r="G46" i="7"/>
  <c r="D10" i="8"/>
  <c r="F23" i="9"/>
  <c r="F9" i="9" s="1"/>
  <c r="D16" i="7"/>
  <c r="D10" i="7" s="1"/>
  <c r="N80" i="8"/>
  <c r="N79" i="8" s="1"/>
  <c r="N125" i="8"/>
  <c r="N104" i="8" s="1"/>
  <c r="L30" i="9"/>
  <c r="L31" i="9"/>
  <c r="L41" i="9"/>
  <c r="L40" i="9" s="1"/>
  <c r="L37" i="9" s="1"/>
  <c r="L36" i="9" s="1"/>
  <c r="L25" i="9"/>
  <c r="L24" i="9"/>
  <c r="L65" i="8"/>
  <c r="L64" i="8" s="1"/>
  <c r="L63" i="8" s="1"/>
  <c r="L23" i="8"/>
  <c r="L22" i="8" s="1"/>
  <c r="I12" i="8"/>
  <c r="L70" i="8"/>
  <c r="M95" i="8"/>
  <c r="M94" i="8" s="1"/>
  <c r="C12" i="8"/>
  <c r="C10" i="8" s="1"/>
  <c r="H48" i="8"/>
  <c r="H29" i="8" s="1"/>
  <c r="L20" i="8"/>
  <c r="N62" i="8"/>
  <c r="I68" i="8"/>
  <c r="I62" i="8" s="1"/>
  <c r="F125" i="8"/>
  <c r="F21" i="8"/>
  <c r="L19" i="8"/>
  <c r="L56" i="8"/>
  <c r="L55" i="8" s="1"/>
  <c r="L92" i="8"/>
  <c r="I105" i="8"/>
  <c r="I104" i="8" s="1"/>
  <c r="F79" i="8"/>
  <c r="L14" i="8"/>
  <c r="L52" i="8"/>
  <c r="D104" i="8"/>
  <c r="D48" i="8" s="1"/>
  <c r="C105" i="8"/>
  <c r="L127" i="8"/>
  <c r="L126" i="8" s="1"/>
  <c r="M126" i="8"/>
  <c r="M68" i="8"/>
  <c r="M62" i="8" s="1"/>
  <c r="N11" i="8"/>
  <c r="L26" i="8"/>
  <c r="N31" i="8"/>
  <c r="N12" i="8"/>
  <c r="L122" i="8"/>
  <c r="M21" i="8"/>
  <c r="L114" i="8"/>
  <c r="L113" i="8" s="1"/>
  <c r="M113" i="8"/>
  <c r="L80" i="8"/>
  <c r="L18" i="8"/>
  <c r="F31" i="8"/>
  <c r="F30" i="8" s="1"/>
  <c r="F12" i="8"/>
  <c r="N50" i="8"/>
  <c r="N49" i="8" s="1"/>
  <c r="L45" i="8"/>
  <c r="L42" i="8" s="1"/>
  <c r="L41" i="8" s="1"/>
  <c r="M125" i="8"/>
  <c r="C102" i="7"/>
  <c r="D96" i="7"/>
  <c r="D41" i="7" s="1"/>
  <c r="F42" i="7"/>
  <c r="G43" i="7"/>
  <c r="G42" i="7" s="1"/>
  <c r="C146" i="7"/>
  <c r="G147" i="7"/>
  <c r="G54" i="7"/>
  <c r="F53" i="7"/>
  <c r="G106" i="7"/>
  <c r="C105" i="7"/>
  <c r="G105" i="7" s="1"/>
  <c r="G12" i="7"/>
  <c r="G31" i="7"/>
  <c r="G30" i="7" s="1"/>
  <c r="G107" i="7"/>
  <c r="G19" i="7" s="1"/>
  <c r="C19" i="7"/>
  <c r="C17" i="7" s="1"/>
  <c r="C16" i="7" s="1"/>
  <c r="C70" i="7"/>
  <c r="G70" i="7" s="1"/>
  <c r="G71" i="7"/>
  <c r="G27" i="7" s="1"/>
  <c r="G26" i="7" s="1"/>
  <c r="C27" i="7"/>
  <c r="C26" i="7" s="1"/>
  <c r="C74" i="7"/>
  <c r="G76" i="7"/>
  <c r="F26" i="7"/>
  <c r="C153" i="7"/>
  <c r="G153" i="7" s="1"/>
  <c r="G14" i="7"/>
  <c r="N30" i="8" l="1"/>
  <c r="C9" i="9"/>
  <c r="G9" i="9"/>
  <c r="C85" i="7"/>
  <c r="G85" i="7" s="1"/>
  <c r="M112" i="8"/>
  <c r="G29" i="8"/>
  <c r="L25" i="8"/>
  <c r="M12" i="8"/>
  <c r="J9" i="9"/>
  <c r="L13" i="8"/>
  <c r="G63" i="7"/>
  <c r="L12" i="8"/>
  <c r="K9" i="9"/>
  <c r="G17" i="7"/>
  <c r="G16" i="7" s="1"/>
  <c r="J9" i="8"/>
  <c r="J29" i="8"/>
  <c r="F104" i="8"/>
  <c r="F48" i="8" s="1"/>
  <c r="F9" i="8" s="1"/>
  <c r="F10" i="8"/>
  <c r="C124" i="7"/>
  <c r="C123" i="7" s="1"/>
  <c r="G123" i="7" s="1"/>
  <c r="H9" i="9"/>
  <c r="L125" i="8"/>
  <c r="E29" i="8"/>
  <c r="E9" i="8"/>
  <c r="C104" i="8"/>
  <c r="C48" i="8" s="1"/>
  <c r="C9" i="8" s="1"/>
  <c r="E29" i="7"/>
  <c r="L11" i="8"/>
  <c r="G13" i="7"/>
  <c r="G10" i="7" s="1"/>
  <c r="L68" i="8"/>
  <c r="L62" i="8" s="1"/>
  <c r="L23" i="9"/>
  <c r="L9" i="9" s="1"/>
  <c r="C10" i="7"/>
  <c r="F10" i="7"/>
  <c r="I10" i="8"/>
  <c r="L50" i="8"/>
  <c r="L49" i="8" s="1"/>
  <c r="I9" i="9"/>
  <c r="K9" i="8"/>
  <c r="M104" i="8"/>
  <c r="M48" i="8" s="1"/>
  <c r="L17" i="8"/>
  <c r="L16" i="8" s="1"/>
  <c r="H9" i="8"/>
  <c r="L79" i="8"/>
  <c r="C29" i="8"/>
  <c r="I48" i="8"/>
  <c r="I29" i="8" s="1"/>
  <c r="L21" i="8"/>
  <c r="L112" i="8"/>
  <c r="L104" i="8" s="1"/>
  <c r="N10" i="8"/>
  <c r="N48" i="8"/>
  <c r="N29" i="8" s="1"/>
  <c r="L30" i="8"/>
  <c r="D29" i="8"/>
  <c r="D9" i="8"/>
  <c r="M11" i="8"/>
  <c r="D9" i="7"/>
  <c r="D29" i="7"/>
  <c r="C58" i="7"/>
  <c r="F52" i="7"/>
  <c r="G53" i="7"/>
  <c r="G74" i="7"/>
  <c r="G146" i="7"/>
  <c r="C145" i="7"/>
  <c r="G145" i="7" s="1"/>
  <c r="G102" i="7"/>
  <c r="C96" i="7"/>
  <c r="G96" i="7" s="1"/>
  <c r="C73" i="7" l="1"/>
  <c r="G73" i="7" s="1"/>
  <c r="M10" i="8"/>
  <c r="G124" i="7"/>
  <c r="L10" i="8"/>
  <c r="L48" i="8"/>
  <c r="L9" i="8" s="1"/>
  <c r="I9" i="8"/>
  <c r="N9" i="8"/>
  <c r="F29" i="8"/>
  <c r="L29" i="8"/>
  <c r="M9" i="8"/>
  <c r="M29" i="8"/>
  <c r="F51" i="7"/>
  <c r="G52" i="7"/>
  <c r="G58" i="7"/>
  <c r="C57" i="7"/>
  <c r="G57" i="7" l="1"/>
  <c r="C41" i="7"/>
  <c r="G51" i="7"/>
  <c r="G41" i="7" s="1"/>
  <c r="G9" i="7" s="1"/>
  <c r="F41" i="7"/>
  <c r="F29" i="7" l="1"/>
  <c r="F9" i="7"/>
  <c r="G29" i="7"/>
  <c r="C9" i="7"/>
  <c r="C29" i="7"/>
  <c r="E178" i="4" l="1"/>
  <c r="E176" i="4" s="1"/>
  <c r="E174" i="4"/>
  <c r="F171" i="4"/>
  <c r="F166" i="4"/>
  <c r="F161" i="4"/>
  <c r="F159" i="4"/>
  <c r="F157" i="4"/>
  <c r="F154" i="4"/>
  <c r="F151" i="4"/>
  <c r="F149" i="4"/>
  <c r="F146" i="4"/>
  <c r="F143" i="4"/>
  <c r="F141" i="4"/>
  <c r="F138" i="4"/>
  <c r="F131" i="4"/>
  <c r="F134" i="4"/>
  <c r="F124" i="4"/>
  <c r="F120" i="4"/>
  <c r="F115" i="4"/>
  <c r="F80" i="4"/>
  <c r="E74" i="4"/>
  <c r="F74" i="4"/>
  <c r="E76" i="4"/>
  <c r="F76" i="4"/>
  <c r="F70" i="4"/>
  <c r="E73" i="4" l="1"/>
  <c r="F130" i="4"/>
  <c r="F73" i="4"/>
  <c r="F153" i="4"/>
  <c r="F137" i="4"/>
  <c r="F55" i="4"/>
  <c r="F50" i="4"/>
  <c r="F48" i="4"/>
  <c r="F34" i="4"/>
  <c r="F136" i="4" l="1"/>
  <c r="F47" i="4"/>
  <c r="F20" i="4" l="1"/>
  <c r="C161" i="15"/>
  <c r="D161" i="15"/>
  <c r="F163" i="15"/>
  <c r="E163" i="15" s="1"/>
  <c r="C164" i="15"/>
  <c r="D164" i="15"/>
  <c r="G164" i="15"/>
  <c r="F165" i="15"/>
  <c r="F164" i="15" s="1"/>
  <c r="F166" i="15"/>
  <c r="E166" i="15" s="1"/>
  <c r="F167" i="15"/>
  <c r="E167" i="15" s="1"/>
  <c r="C168" i="15"/>
  <c r="D168" i="15"/>
  <c r="G168" i="15"/>
  <c r="F169" i="15"/>
  <c r="F170" i="15"/>
  <c r="E170" i="15" s="1"/>
  <c r="C171" i="15"/>
  <c r="D171" i="15"/>
  <c r="G171" i="15"/>
  <c r="F172" i="15"/>
  <c r="E172" i="15" s="1"/>
  <c r="F173" i="15"/>
  <c r="E173" i="15" s="1"/>
  <c r="F174" i="15"/>
  <c r="E174" i="15" s="1"/>
  <c r="F175" i="15"/>
  <c r="E175" i="15" s="1"/>
  <c r="F176" i="15"/>
  <c r="E176" i="15" s="1"/>
  <c r="F177" i="15"/>
  <c r="E177" i="15" s="1"/>
  <c r="C178" i="15"/>
  <c r="D178" i="15"/>
  <c r="G178" i="15"/>
  <c r="F179" i="15"/>
  <c r="F180" i="15"/>
  <c r="E180" i="15" s="1"/>
  <c r="C181" i="15"/>
  <c r="D181" i="15"/>
  <c r="G181" i="15"/>
  <c r="F182" i="15"/>
  <c r="E182" i="15" s="1"/>
  <c r="E181" i="15" s="1"/>
  <c r="C183" i="15"/>
  <c r="D183" i="15"/>
  <c r="G183" i="15"/>
  <c r="F184" i="15"/>
  <c r="F185" i="15"/>
  <c r="E185" i="15" s="1"/>
  <c r="F186" i="15"/>
  <c r="E186" i="15" s="1"/>
  <c r="C187" i="15"/>
  <c r="D187" i="15"/>
  <c r="G187" i="15"/>
  <c r="F188" i="15"/>
  <c r="F187" i="15" s="1"/>
  <c r="C189" i="15"/>
  <c r="D189" i="15"/>
  <c r="G189" i="15"/>
  <c r="F190" i="15"/>
  <c r="E190" i="15" s="1"/>
  <c r="E189" i="15" s="1"/>
  <c r="F168" i="15" l="1"/>
  <c r="E188" i="15"/>
  <c r="E187" i="15" s="1"/>
  <c r="F178" i="15"/>
  <c r="E165" i="15"/>
  <c r="E164" i="15" s="1"/>
  <c r="F183" i="15"/>
  <c r="E171" i="15"/>
  <c r="F161" i="15"/>
  <c r="E162" i="15"/>
  <c r="E161" i="15" s="1"/>
  <c r="F189" i="15"/>
  <c r="E184" i="15"/>
  <c r="E183" i="15" s="1"/>
  <c r="E179" i="15"/>
  <c r="E178" i="15" s="1"/>
  <c r="G161" i="15"/>
  <c r="F181" i="15"/>
  <c r="E169" i="15"/>
  <c r="E168" i="15" s="1"/>
  <c r="F171" i="15"/>
  <c r="G19" i="1" l="1"/>
  <c r="H19" i="1"/>
  <c r="H18" i="1" s="1"/>
  <c r="K19" i="1"/>
  <c r="K18" i="1" s="1"/>
  <c r="E31" i="1"/>
  <c r="K31" i="1"/>
  <c r="E30" i="1"/>
  <c r="H30" i="1"/>
  <c r="J30" i="1"/>
  <c r="K30" i="1"/>
  <c r="E29" i="1"/>
  <c r="K29" i="1"/>
  <c r="E27" i="1"/>
  <c r="E26" i="1" s="1"/>
  <c r="J27" i="1"/>
  <c r="J26" i="1" s="1"/>
  <c r="K27" i="1"/>
  <c r="K26" i="1" s="1"/>
  <c r="D23" i="1"/>
  <c r="E23" i="1"/>
  <c r="H23" i="1"/>
  <c r="J23" i="1"/>
  <c r="K23" i="1"/>
  <c r="J22" i="1"/>
  <c r="K22" i="1"/>
  <c r="D21" i="1"/>
  <c r="E21" i="1"/>
  <c r="G21" i="1"/>
  <c r="H21" i="1"/>
  <c r="K21" i="1"/>
  <c r="G18" i="1"/>
  <c r="G17" i="1"/>
  <c r="H17" i="1"/>
  <c r="K17" i="1"/>
  <c r="E16" i="1"/>
  <c r="H16" i="1"/>
  <c r="J16" i="1"/>
  <c r="K16" i="1"/>
  <c r="E14" i="1"/>
  <c r="H14" i="1"/>
  <c r="J14" i="1"/>
  <c r="K14" i="1"/>
  <c r="G13" i="1"/>
  <c r="H13" i="1"/>
  <c r="J13" i="1"/>
  <c r="K13" i="1"/>
  <c r="D24" i="1"/>
  <c r="E24" i="1"/>
  <c r="G24" i="1"/>
  <c r="H24" i="1"/>
  <c r="K24" i="1"/>
  <c r="K20" i="1" l="1"/>
  <c r="E28" i="1"/>
  <c r="H15" i="1"/>
  <c r="K28" i="1"/>
  <c r="K12" i="1"/>
  <c r="K15" i="1"/>
  <c r="J12" i="1"/>
  <c r="H12" i="1"/>
  <c r="D20" i="4"/>
  <c r="E20" i="4"/>
  <c r="D85" i="4"/>
  <c r="E85" i="4"/>
  <c r="C86" i="4"/>
  <c r="G86" i="4" s="1"/>
  <c r="B86" i="4"/>
  <c r="C160" i="15" l="1"/>
  <c r="D160" i="15"/>
  <c r="E160" i="15"/>
  <c r="F160" i="15" l="1"/>
  <c r="G160" i="15"/>
  <c r="D92" i="1"/>
  <c r="E92" i="1"/>
  <c r="F92" i="1"/>
  <c r="G92" i="1"/>
  <c r="H92" i="1"/>
  <c r="J92" i="1"/>
  <c r="K92" i="1"/>
  <c r="N93" i="1"/>
  <c r="N92" i="1" s="1"/>
  <c r="M93" i="1"/>
  <c r="M92" i="1" s="1"/>
  <c r="I93" i="1"/>
  <c r="I92" i="1" s="1"/>
  <c r="C93" i="1"/>
  <c r="C92" i="1" s="1"/>
  <c r="E89" i="1"/>
  <c r="G89" i="1"/>
  <c r="H89" i="1"/>
  <c r="I89" i="1"/>
  <c r="J89" i="1"/>
  <c r="K89" i="1"/>
  <c r="N91" i="1"/>
  <c r="N90" i="1"/>
  <c r="M90" i="1"/>
  <c r="F91" i="1"/>
  <c r="F45" i="4" s="1"/>
  <c r="F90" i="1"/>
  <c r="F44" i="4" s="1"/>
  <c r="C90" i="1"/>
  <c r="D86" i="1"/>
  <c r="E86" i="1"/>
  <c r="G86" i="1"/>
  <c r="H86" i="1"/>
  <c r="I86" i="1"/>
  <c r="J86" i="1"/>
  <c r="K86" i="1"/>
  <c r="M88" i="1"/>
  <c r="N88" i="1"/>
  <c r="N87" i="1"/>
  <c r="M87" i="1"/>
  <c r="F88" i="1"/>
  <c r="F41" i="4" s="1"/>
  <c r="F87" i="1"/>
  <c r="F40" i="4" s="1"/>
  <c r="F39" i="4" s="1"/>
  <c r="C88" i="1"/>
  <c r="C87" i="1"/>
  <c r="D84" i="1"/>
  <c r="E84" i="1"/>
  <c r="G84" i="1"/>
  <c r="H84" i="1"/>
  <c r="I84" i="1"/>
  <c r="J84" i="1"/>
  <c r="K84" i="1"/>
  <c r="N85" i="1"/>
  <c r="N84" i="1" s="1"/>
  <c r="M85" i="1"/>
  <c r="M84" i="1" s="1"/>
  <c r="F85" i="1"/>
  <c r="C85" i="1"/>
  <c r="C84" i="1" s="1"/>
  <c r="D91" i="1"/>
  <c r="E30" i="4"/>
  <c r="D28" i="4"/>
  <c r="E28" i="4"/>
  <c r="D22" i="4"/>
  <c r="E22" i="4"/>
  <c r="D43" i="4"/>
  <c r="E43" i="4"/>
  <c r="C45" i="4"/>
  <c r="C44" i="4"/>
  <c r="C42" i="4"/>
  <c r="G42" i="4" s="1"/>
  <c r="D39" i="4"/>
  <c r="E39" i="4"/>
  <c r="C41" i="4"/>
  <c r="C40" i="4"/>
  <c r="D37" i="4"/>
  <c r="E37" i="4"/>
  <c r="C38" i="4"/>
  <c r="D34" i="4"/>
  <c r="E34" i="4"/>
  <c r="C36" i="4"/>
  <c r="C35" i="4"/>
  <c r="G35" i="4" s="1"/>
  <c r="L35" i="4"/>
  <c r="L34" i="4"/>
  <c r="F43" i="4" l="1"/>
  <c r="C43" i="4"/>
  <c r="D33" i="4"/>
  <c r="G41" i="4"/>
  <c r="C39" i="4"/>
  <c r="G40" i="4"/>
  <c r="E33" i="4"/>
  <c r="G44" i="4"/>
  <c r="F84" i="1"/>
  <c r="F38" i="4"/>
  <c r="F37" i="4" s="1"/>
  <c r="F33" i="4" s="1"/>
  <c r="F32" i="4" s="1"/>
  <c r="C34" i="4"/>
  <c r="G36" i="4"/>
  <c r="G34" i="4" s="1"/>
  <c r="G45" i="4"/>
  <c r="D89" i="1"/>
  <c r="D83" i="1" s="1"/>
  <c r="C86" i="1"/>
  <c r="F89" i="1"/>
  <c r="J83" i="1"/>
  <c r="K83" i="1"/>
  <c r="F86" i="1"/>
  <c r="L90" i="1"/>
  <c r="G83" i="1"/>
  <c r="N89" i="1"/>
  <c r="L85" i="1"/>
  <c r="L84" i="1" s="1"/>
  <c r="I83" i="1"/>
  <c r="H83" i="1"/>
  <c r="L87" i="1"/>
  <c r="E83" i="1"/>
  <c r="M91" i="1"/>
  <c r="C91" i="1"/>
  <c r="C89" i="1" s="1"/>
  <c r="L93" i="1"/>
  <c r="L92" i="1" s="1"/>
  <c r="N86" i="1"/>
  <c r="L88" i="1"/>
  <c r="M86" i="1"/>
  <c r="C37" i="4"/>
  <c r="D268" i="16"/>
  <c r="E268" i="16"/>
  <c r="D264" i="16"/>
  <c r="E264" i="16"/>
  <c r="D262" i="16"/>
  <c r="E262" i="16"/>
  <c r="D260" i="16"/>
  <c r="E260" i="16"/>
  <c r="D258" i="16"/>
  <c r="E258" i="16"/>
  <c r="D256" i="16"/>
  <c r="E256" i="16"/>
  <c r="D254" i="16"/>
  <c r="E254" i="16"/>
  <c r="D252" i="16"/>
  <c r="E252" i="16"/>
  <c r="D250" i="16"/>
  <c r="E250" i="16"/>
  <c r="D248" i="16"/>
  <c r="E248" i="16"/>
  <c r="D246" i="16"/>
  <c r="E246" i="16"/>
  <c r="D244" i="16"/>
  <c r="E244" i="16"/>
  <c r="D241" i="16"/>
  <c r="E241" i="16"/>
  <c r="D238" i="16"/>
  <c r="E238" i="16"/>
  <c r="C240" i="16"/>
  <c r="C242" i="16"/>
  <c r="C243" i="16"/>
  <c r="C245" i="16"/>
  <c r="C244" i="16" s="1"/>
  <c r="C247" i="16"/>
  <c r="C246" i="16" s="1"/>
  <c r="C249" i="16"/>
  <c r="C248" i="16" s="1"/>
  <c r="C251" i="16"/>
  <c r="C250" i="16" s="1"/>
  <c r="C253" i="16"/>
  <c r="C252" i="16" s="1"/>
  <c r="C255" i="16"/>
  <c r="C254" i="16" s="1"/>
  <c r="C257" i="16"/>
  <c r="C256" i="16" s="1"/>
  <c r="C259" i="16"/>
  <c r="C258" i="16" s="1"/>
  <c r="C261" i="16"/>
  <c r="C260" i="16" s="1"/>
  <c r="C263" i="16"/>
  <c r="C262" i="16" s="1"/>
  <c r="C265" i="16"/>
  <c r="C266" i="16"/>
  <c r="C267" i="16"/>
  <c r="C269" i="16"/>
  <c r="C268" i="16" s="1"/>
  <c r="C239" i="16"/>
  <c r="G231" i="15"/>
  <c r="D278" i="15"/>
  <c r="F278" i="15"/>
  <c r="D270" i="15"/>
  <c r="F270" i="15"/>
  <c r="D265" i="15"/>
  <c r="F265" i="15"/>
  <c r="D262" i="15"/>
  <c r="F262" i="15"/>
  <c r="D253" i="15"/>
  <c r="F253" i="15"/>
  <c r="D250" i="15"/>
  <c r="F250" i="15"/>
  <c r="D243" i="15"/>
  <c r="F243" i="15"/>
  <c r="D236" i="15"/>
  <c r="F236" i="15"/>
  <c r="D232" i="15"/>
  <c r="E280" i="15"/>
  <c r="C280" i="15" s="1"/>
  <c r="E281" i="15"/>
  <c r="C281" i="15" s="1"/>
  <c r="E282" i="15"/>
  <c r="C282" i="15" s="1"/>
  <c r="E279" i="15"/>
  <c r="E272" i="15"/>
  <c r="C272" i="15" s="1"/>
  <c r="E273" i="15"/>
  <c r="C273" i="15" s="1"/>
  <c r="E274" i="15"/>
  <c r="C274" i="15" s="1"/>
  <c r="E275" i="15"/>
  <c r="C275" i="15" s="1"/>
  <c r="E276" i="15"/>
  <c r="C276" i="15" s="1"/>
  <c r="E277" i="15"/>
  <c r="C277" i="15" s="1"/>
  <c r="E271" i="15"/>
  <c r="C271" i="15" s="1"/>
  <c r="E267" i="15"/>
  <c r="C267" i="15" s="1"/>
  <c r="E268" i="15"/>
  <c r="C268" i="15" s="1"/>
  <c r="E269" i="15"/>
  <c r="C269" i="15" s="1"/>
  <c r="E266" i="15"/>
  <c r="C266" i="15" s="1"/>
  <c r="E264" i="15"/>
  <c r="C264" i="15" s="1"/>
  <c r="E263" i="15"/>
  <c r="E255" i="15"/>
  <c r="C255" i="15" s="1"/>
  <c r="E256" i="15"/>
  <c r="C256" i="15" s="1"/>
  <c r="E257" i="15"/>
  <c r="C257" i="15" s="1"/>
  <c r="E258" i="15"/>
  <c r="C258" i="15" s="1"/>
  <c r="E259" i="15"/>
  <c r="C259" i="15" s="1"/>
  <c r="E260" i="15"/>
  <c r="C260" i="15" s="1"/>
  <c r="E261" i="15"/>
  <c r="C261" i="15" s="1"/>
  <c r="E254" i="15"/>
  <c r="C254" i="15" s="1"/>
  <c r="E252" i="15"/>
  <c r="C252" i="15" s="1"/>
  <c r="E251" i="15"/>
  <c r="E245" i="15"/>
  <c r="C245" i="15" s="1"/>
  <c r="E246" i="15"/>
  <c r="C246" i="15" s="1"/>
  <c r="E247" i="15"/>
  <c r="C247" i="15" s="1"/>
  <c r="E248" i="15"/>
  <c r="C248" i="15" s="1"/>
  <c r="E249" i="15"/>
  <c r="C249" i="15" s="1"/>
  <c r="E244" i="15"/>
  <c r="C244" i="15" s="1"/>
  <c r="E238" i="15"/>
  <c r="C238" i="15" s="1"/>
  <c r="E239" i="15"/>
  <c r="C239" i="15" s="1"/>
  <c r="E240" i="15"/>
  <c r="C240" i="15" s="1"/>
  <c r="E241" i="15"/>
  <c r="C241" i="15" s="1"/>
  <c r="E242" i="15"/>
  <c r="C242" i="15" s="1"/>
  <c r="E237" i="15"/>
  <c r="E234" i="15"/>
  <c r="C234" i="15" s="1"/>
  <c r="E235" i="15"/>
  <c r="C235" i="15" s="1"/>
  <c r="F233" i="15"/>
  <c r="E233" i="15" s="1"/>
  <c r="D57" i="14"/>
  <c r="D55" i="14"/>
  <c r="D52" i="14"/>
  <c r="D50" i="14"/>
  <c r="D47" i="14"/>
  <c r="D45" i="14"/>
  <c r="D42" i="14"/>
  <c r="D39" i="14"/>
  <c r="D36" i="14"/>
  <c r="D33" i="14"/>
  <c r="D30" i="14"/>
  <c r="D85" i="14"/>
  <c r="D84" i="14" s="1"/>
  <c r="F85" i="14"/>
  <c r="F84" i="14" s="1"/>
  <c r="G85" i="14"/>
  <c r="G84" i="14" s="1"/>
  <c r="C85" i="14"/>
  <c r="C84" i="14" s="1"/>
  <c r="E86" i="14"/>
  <c r="E85" i="14" s="1"/>
  <c r="E84" i="14" s="1"/>
  <c r="A3" i="13"/>
  <c r="A3" i="14" s="1"/>
  <c r="A3" i="15" s="1"/>
  <c r="A3" i="16" s="1"/>
  <c r="A3" i="17" s="1"/>
  <c r="A3" i="18" s="1"/>
  <c r="C27" i="13"/>
  <c r="D28" i="13"/>
  <c r="D26" i="13" s="1"/>
  <c r="E28" i="13"/>
  <c r="E26" i="13" s="1"/>
  <c r="C29" i="13"/>
  <c r="C28" i="13" s="1"/>
  <c r="G39" i="4" l="1"/>
  <c r="C264" i="16"/>
  <c r="D237" i="16"/>
  <c r="C241" i="16"/>
  <c r="C238" i="16"/>
  <c r="E237" i="16"/>
  <c r="C26" i="13"/>
  <c r="C237" i="16"/>
  <c r="C33" i="4"/>
  <c r="C32" i="4" s="1"/>
  <c r="G43" i="4"/>
  <c r="G38" i="4"/>
  <c r="G37" i="4" s="1"/>
  <c r="E262" i="15"/>
  <c r="E278" i="15"/>
  <c r="E250" i="15"/>
  <c r="E270" i="15"/>
  <c r="F232" i="15"/>
  <c r="F231" i="15" s="1"/>
  <c r="D231" i="15"/>
  <c r="E236" i="15"/>
  <c r="C279" i="15"/>
  <c r="C278" i="15" s="1"/>
  <c r="C83" i="1"/>
  <c r="L86" i="1"/>
  <c r="F83" i="1"/>
  <c r="N83" i="1"/>
  <c r="L91" i="1"/>
  <c r="L89" i="1" s="1"/>
  <c r="L83" i="1" s="1"/>
  <c r="M89" i="1"/>
  <c r="M83" i="1" s="1"/>
  <c r="C270" i="15"/>
  <c r="E232" i="15"/>
  <c r="C233" i="15"/>
  <c r="C232" i="15" s="1"/>
  <c r="C253" i="15"/>
  <c r="C265" i="15"/>
  <c r="C243" i="15"/>
  <c r="C251" i="15"/>
  <c r="C250" i="15" s="1"/>
  <c r="E243" i="15"/>
  <c r="E253" i="15"/>
  <c r="E265" i="15"/>
  <c r="C237" i="15"/>
  <c r="C236" i="15" s="1"/>
  <c r="C263" i="15"/>
  <c r="C262" i="15" s="1"/>
  <c r="D29" i="14"/>
  <c r="G33" i="4" l="1"/>
  <c r="G32" i="4" s="1"/>
  <c r="E231" i="15"/>
  <c r="C231" i="15"/>
  <c r="E117" i="1"/>
  <c r="H117" i="1"/>
  <c r="I117" i="1"/>
  <c r="J117" i="1"/>
  <c r="K117" i="1"/>
  <c r="D171" i="1"/>
  <c r="E171" i="1"/>
  <c r="F171" i="1"/>
  <c r="G171" i="1"/>
  <c r="H171" i="1"/>
  <c r="K171" i="1"/>
  <c r="N172" i="1"/>
  <c r="N171" i="1" s="1"/>
  <c r="C172" i="1"/>
  <c r="C171" i="1" s="1"/>
  <c r="D169" i="1"/>
  <c r="E169" i="1"/>
  <c r="H169" i="1"/>
  <c r="I169" i="1"/>
  <c r="J169" i="1"/>
  <c r="K169" i="1"/>
  <c r="N170" i="1"/>
  <c r="N169" i="1" s="1"/>
  <c r="C170" i="1"/>
  <c r="C169" i="1" s="1"/>
  <c r="D167" i="1"/>
  <c r="E167" i="1"/>
  <c r="F167" i="1"/>
  <c r="G167" i="1"/>
  <c r="H167" i="1"/>
  <c r="K167" i="1"/>
  <c r="N168" i="1"/>
  <c r="C168" i="1"/>
  <c r="D165" i="1"/>
  <c r="E165" i="1"/>
  <c r="F165" i="1"/>
  <c r="G165" i="1"/>
  <c r="H165" i="1"/>
  <c r="J165" i="1"/>
  <c r="K165" i="1"/>
  <c r="N166" i="1"/>
  <c r="N165" i="1" s="1"/>
  <c r="M166" i="1"/>
  <c r="M165" i="1" s="1"/>
  <c r="I166" i="1"/>
  <c r="I165" i="1" s="1"/>
  <c r="C166" i="1"/>
  <c r="C165" i="1" s="1"/>
  <c r="N164" i="1"/>
  <c r="C164" i="1"/>
  <c r="E161" i="1"/>
  <c r="G161" i="1"/>
  <c r="H161" i="1"/>
  <c r="I161" i="1"/>
  <c r="J161" i="1"/>
  <c r="K161" i="1"/>
  <c r="N162" i="1"/>
  <c r="N161" i="1" s="1"/>
  <c r="F162" i="1"/>
  <c r="N160" i="1"/>
  <c r="C160" i="1"/>
  <c r="F161" i="1" l="1"/>
  <c r="F175" i="4"/>
  <c r="F174" i="4" s="1"/>
  <c r="K163" i="1"/>
  <c r="C167" i="1"/>
  <c r="C163" i="1" s="1"/>
  <c r="N167" i="1"/>
  <c r="N163" i="1" s="1"/>
  <c r="D163" i="1"/>
  <c r="E163" i="1"/>
  <c r="H163" i="1"/>
  <c r="L166" i="1"/>
  <c r="L165" i="1" s="1"/>
  <c r="D158" i="1"/>
  <c r="E158" i="1"/>
  <c r="F158" i="1"/>
  <c r="G158" i="1"/>
  <c r="H158" i="1"/>
  <c r="K158" i="1"/>
  <c r="N159" i="1"/>
  <c r="C159" i="1"/>
  <c r="C158" i="1" s="1"/>
  <c r="N158" i="1" l="1"/>
  <c r="D156" i="1" l="1"/>
  <c r="E156" i="1"/>
  <c r="E155" i="1" s="1"/>
  <c r="E154" i="1" s="1"/>
  <c r="H156" i="1"/>
  <c r="H155" i="1" s="1"/>
  <c r="H154" i="1" s="1"/>
  <c r="I156" i="1"/>
  <c r="J156" i="1"/>
  <c r="K156" i="1"/>
  <c r="K155" i="1" s="1"/>
  <c r="K154" i="1" s="1"/>
  <c r="N157" i="1"/>
  <c r="N156" i="1" s="1"/>
  <c r="N155" i="1" s="1"/>
  <c r="N154" i="1" s="1"/>
  <c r="C157" i="1"/>
  <c r="C156" i="1" s="1"/>
  <c r="J172" i="1"/>
  <c r="G170" i="1"/>
  <c r="J168" i="1"/>
  <c r="J31" i="1" s="1"/>
  <c r="G164" i="1"/>
  <c r="O163" i="1"/>
  <c r="D162" i="1"/>
  <c r="J160" i="1"/>
  <c r="J159" i="1"/>
  <c r="G157" i="1"/>
  <c r="M157" i="1" s="1"/>
  <c r="O155" i="1"/>
  <c r="A3" i="4"/>
  <c r="E29" i="4"/>
  <c r="D26" i="4"/>
  <c r="E26" i="4"/>
  <c r="D19" i="4"/>
  <c r="D138" i="4"/>
  <c r="E138" i="4"/>
  <c r="D178" i="4"/>
  <c r="D176" i="4" s="1"/>
  <c r="C179" i="4"/>
  <c r="C177" i="4"/>
  <c r="D174" i="4"/>
  <c r="C175" i="4"/>
  <c r="D169" i="4"/>
  <c r="E169" i="4"/>
  <c r="C170" i="4"/>
  <c r="D166" i="4"/>
  <c r="E166" i="4"/>
  <c r="C168" i="4"/>
  <c r="G168" i="4" s="1"/>
  <c r="C167" i="4"/>
  <c r="G167" i="4" s="1"/>
  <c r="C173" i="4"/>
  <c r="G173" i="4" s="1"/>
  <c r="C172" i="4"/>
  <c r="E171" i="4"/>
  <c r="D171" i="4"/>
  <c r="E165" i="4" l="1"/>
  <c r="E164" i="4" s="1"/>
  <c r="C169" i="4"/>
  <c r="C171" i="4"/>
  <c r="G172" i="4"/>
  <c r="G171" i="4" s="1"/>
  <c r="C174" i="4"/>
  <c r="G175" i="4"/>
  <c r="G174" i="4" s="1"/>
  <c r="C178" i="4"/>
  <c r="C176" i="4" s="1"/>
  <c r="G166" i="4"/>
  <c r="D165" i="4"/>
  <c r="D164" i="4" s="1"/>
  <c r="C166" i="4"/>
  <c r="L157" i="1"/>
  <c r="L156" i="1" s="1"/>
  <c r="M156" i="1"/>
  <c r="J167" i="1"/>
  <c r="M168" i="1"/>
  <c r="I168" i="1"/>
  <c r="G156" i="1"/>
  <c r="G155" i="1" s="1"/>
  <c r="J171" i="1"/>
  <c r="I172" i="1"/>
  <c r="I171" i="1" s="1"/>
  <c r="M172" i="1"/>
  <c r="M159" i="1"/>
  <c r="J158" i="1"/>
  <c r="J155" i="1" s="1"/>
  <c r="I159" i="1"/>
  <c r="I158" i="1" s="1"/>
  <c r="G169" i="1"/>
  <c r="G163" i="1" s="1"/>
  <c r="M170" i="1"/>
  <c r="F170" i="1"/>
  <c r="M160" i="1"/>
  <c r="L160" i="1" s="1"/>
  <c r="I160" i="1"/>
  <c r="F157" i="1"/>
  <c r="D161" i="1"/>
  <c r="D155" i="1" s="1"/>
  <c r="D154" i="1" s="1"/>
  <c r="C162" i="1"/>
  <c r="C161" i="1" s="1"/>
  <c r="C155" i="1" s="1"/>
  <c r="C154" i="1" s="1"/>
  <c r="M162" i="1"/>
  <c r="M164" i="1"/>
  <c r="F164" i="1"/>
  <c r="F177" i="4" s="1"/>
  <c r="G177" i="4" s="1"/>
  <c r="C165" i="4" l="1"/>
  <c r="C164" i="4" s="1"/>
  <c r="F156" i="1"/>
  <c r="F155" i="1" s="1"/>
  <c r="F170" i="4"/>
  <c r="F169" i="1"/>
  <c r="F163" i="1" s="1"/>
  <c r="F179" i="4"/>
  <c r="I155" i="1"/>
  <c r="I167" i="1"/>
  <c r="I163" i="1" s="1"/>
  <c r="L162" i="1"/>
  <c r="L161" i="1" s="1"/>
  <c r="M161" i="1"/>
  <c r="L168" i="1"/>
  <c r="M167" i="1"/>
  <c r="M169" i="1"/>
  <c r="L170" i="1"/>
  <c r="L169" i="1" s="1"/>
  <c r="J163" i="1"/>
  <c r="J154" i="1" s="1"/>
  <c r="L164" i="1"/>
  <c r="L172" i="1"/>
  <c r="L171" i="1" s="1"/>
  <c r="M171" i="1"/>
  <c r="G154" i="1"/>
  <c r="M158" i="1"/>
  <c r="L159" i="1"/>
  <c r="L158" i="1" s="1"/>
  <c r="C216" i="16"/>
  <c r="C215" i="16" s="1"/>
  <c r="C236" i="16"/>
  <c r="C235" i="16" s="1"/>
  <c r="E235" i="16"/>
  <c r="D235" i="16"/>
  <c r="C234" i="16"/>
  <c r="C233" i="16" s="1"/>
  <c r="E233" i="16"/>
  <c r="D233" i="16"/>
  <c r="C232" i="16"/>
  <c r="C231" i="16" s="1"/>
  <c r="E231" i="16"/>
  <c r="D231" i="16"/>
  <c r="C230" i="16"/>
  <c r="C229" i="16" s="1"/>
  <c r="E229" i="16"/>
  <c r="D229" i="16"/>
  <c r="C228" i="16"/>
  <c r="C227" i="16"/>
  <c r="E226" i="16"/>
  <c r="D226" i="16"/>
  <c r="C225" i="16"/>
  <c r="C224" i="16" s="1"/>
  <c r="E224" i="16"/>
  <c r="D224" i="16"/>
  <c r="C223" i="16"/>
  <c r="C222" i="16" s="1"/>
  <c r="E222" i="16"/>
  <c r="D222" i="16"/>
  <c r="C221" i="16"/>
  <c r="C220" i="16"/>
  <c r="E219" i="16"/>
  <c r="D219" i="16"/>
  <c r="C218" i="16"/>
  <c r="C217" i="16" s="1"/>
  <c r="E217" i="16"/>
  <c r="D217" i="16"/>
  <c r="E215" i="16"/>
  <c r="D215" i="16"/>
  <c r="D229" i="15"/>
  <c r="G229" i="15"/>
  <c r="D225" i="15"/>
  <c r="F225" i="15"/>
  <c r="G225" i="15"/>
  <c r="D219" i="15"/>
  <c r="F219" i="15"/>
  <c r="G219" i="15"/>
  <c r="D216" i="15"/>
  <c r="F216" i="15"/>
  <c r="G216" i="15"/>
  <c r="D214" i="15"/>
  <c r="F214" i="15"/>
  <c r="G214" i="15"/>
  <c r="D208" i="15"/>
  <c r="F208" i="15"/>
  <c r="G208" i="15"/>
  <c r="D205" i="15"/>
  <c r="F205" i="15"/>
  <c r="G205" i="15"/>
  <c r="D202" i="15"/>
  <c r="F202" i="15"/>
  <c r="G202" i="15"/>
  <c r="D199" i="15"/>
  <c r="F199" i="15"/>
  <c r="G199" i="15"/>
  <c r="D195" i="15"/>
  <c r="F195" i="15"/>
  <c r="G195" i="15"/>
  <c r="D192" i="15"/>
  <c r="F192" i="15"/>
  <c r="G192" i="15"/>
  <c r="E196" i="15"/>
  <c r="E194" i="15"/>
  <c r="C194" i="15" s="1"/>
  <c r="E197" i="15"/>
  <c r="C197" i="15" s="1"/>
  <c r="E198" i="15"/>
  <c r="C198" i="15" s="1"/>
  <c r="E200" i="15"/>
  <c r="C200" i="15" s="1"/>
  <c r="E201" i="15"/>
  <c r="C201" i="15" s="1"/>
  <c r="E203" i="15"/>
  <c r="C203" i="15" s="1"/>
  <c r="E204" i="15"/>
  <c r="C204" i="15" s="1"/>
  <c r="E206" i="15"/>
  <c r="C206" i="15" s="1"/>
  <c r="E207" i="15"/>
  <c r="C207" i="15" s="1"/>
  <c r="E209" i="15"/>
  <c r="C209" i="15" s="1"/>
  <c r="E210" i="15"/>
  <c r="C210" i="15" s="1"/>
  <c r="E211" i="15"/>
  <c r="C211" i="15" s="1"/>
  <c r="E212" i="15"/>
  <c r="C212" i="15" s="1"/>
  <c r="E213" i="15"/>
  <c r="C213" i="15" s="1"/>
  <c r="E215" i="15"/>
  <c r="C215" i="15" s="1"/>
  <c r="C214" i="15" s="1"/>
  <c r="E217" i="15"/>
  <c r="C217" i="15" s="1"/>
  <c r="E218" i="15"/>
  <c r="C218" i="15" s="1"/>
  <c r="E220" i="15"/>
  <c r="E221" i="15"/>
  <c r="C221" i="15" s="1"/>
  <c r="E222" i="15"/>
  <c r="C222" i="15" s="1"/>
  <c r="E223" i="15"/>
  <c r="C223" i="15" s="1"/>
  <c r="E224" i="15"/>
  <c r="C224" i="15" s="1"/>
  <c r="E226" i="15"/>
  <c r="C226" i="15" s="1"/>
  <c r="E227" i="15"/>
  <c r="C227" i="15" s="1"/>
  <c r="E228" i="15"/>
  <c r="C228" i="15" s="1"/>
  <c r="E193" i="15"/>
  <c r="E192" i="15" s="1"/>
  <c r="F230" i="15"/>
  <c r="F229" i="15" s="1"/>
  <c r="D82" i="14"/>
  <c r="F82" i="14"/>
  <c r="G82" i="14"/>
  <c r="D79" i="14"/>
  <c r="F79" i="14"/>
  <c r="G79" i="14"/>
  <c r="D75" i="14"/>
  <c r="F75" i="14"/>
  <c r="G75" i="14"/>
  <c r="D71" i="14"/>
  <c r="F71" i="14"/>
  <c r="G71" i="14"/>
  <c r="D69" i="14"/>
  <c r="F69" i="14"/>
  <c r="G69" i="14"/>
  <c r="D66" i="14"/>
  <c r="F66" i="14"/>
  <c r="G66" i="14"/>
  <c r="D64" i="14"/>
  <c r="F64" i="14"/>
  <c r="G64" i="14"/>
  <c r="D60" i="14"/>
  <c r="F60" i="14"/>
  <c r="G60" i="14"/>
  <c r="E62" i="14"/>
  <c r="C62" i="14" s="1"/>
  <c r="E63" i="14"/>
  <c r="C63" i="14" s="1"/>
  <c r="E65" i="14"/>
  <c r="C65" i="14" s="1"/>
  <c r="C64" i="14" s="1"/>
  <c r="E67" i="14"/>
  <c r="E68" i="14"/>
  <c r="C68" i="14" s="1"/>
  <c r="E70" i="14"/>
  <c r="E69" i="14" s="1"/>
  <c r="E72" i="14"/>
  <c r="C72" i="14" s="1"/>
  <c r="E73" i="14"/>
  <c r="C73" i="14" s="1"/>
  <c r="E74" i="14"/>
  <c r="C74" i="14" s="1"/>
  <c r="E76" i="14"/>
  <c r="E77" i="14"/>
  <c r="C77" i="14" s="1"/>
  <c r="E78" i="14"/>
  <c r="C78" i="14" s="1"/>
  <c r="E80" i="14"/>
  <c r="C80" i="14" s="1"/>
  <c r="E81" i="14"/>
  <c r="C81" i="14" s="1"/>
  <c r="E83" i="14"/>
  <c r="C83" i="14" s="1"/>
  <c r="C82" i="14" s="1"/>
  <c r="E61" i="14"/>
  <c r="C25" i="13"/>
  <c r="C24" i="13" s="1"/>
  <c r="D24" i="13"/>
  <c r="C23" i="13"/>
  <c r="C22" i="13"/>
  <c r="F154" i="1" l="1"/>
  <c r="C202" i="15"/>
  <c r="C219" i="16"/>
  <c r="C226" i="16"/>
  <c r="D214" i="16"/>
  <c r="I154" i="1"/>
  <c r="E214" i="16"/>
  <c r="C79" i="14"/>
  <c r="M155" i="1"/>
  <c r="F178" i="4"/>
  <c r="F176" i="4" s="1"/>
  <c r="G179" i="4"/>
  <c r="G178" i="4" s="1"/>
  <c r="G176" i="4" s="1"/>
  <c r="E202" i="15"/>
  <c r="F169" i="4"/>
  <c r="F165" i="4" s="1"/>
  <c r="G170" i="4"/>
  <c r="G169" i="4" s="1"/>
  <c r="G165" i="4" s="1"/>
  <c r="C199" i="15"/>
  <c r="C205" i="15"/>
  <c r="E230" i="15"/>
  <c r="C230" i="15" s="1"/>
  <c r="C229" i="15" s="1"/>
  <c r="E219" i="15"/>
  <c r="C220" i="15"/>
  <c r="C219" i="15" s="1"/>
  <c r="E195" i="15"/>
  <c r="C208" i="15"/>
  <c r="C216" i="15"/>
  <c r="C225" i="15"/>
  <c r="G191" i="15"/>
  <c r="E199" i="15"/>
  <c r="D191" i="15"/>
  <c r="L167" i="1"/>
  <c r="L163" i="1" s="1"/>
  <c r="L155" i="1"/>
  <c r="E79" i="14"/>
  <c r="E75" i="14"/>
  <c r="E66" i="14"/>
  <c r="E60" i="14"/>
  <c r="G59" i="14"/>
  <c r="C71" i="14"/>
  <c r="F59" i="14"/>
  <c r="D59" i="14"/>
  <c r="F191" i="15"/>
  <c r="E205" i="15"/>
  <c r="E225" i="15"/>
  <c r="E214" i="15"/>
  <c r="E216" i="15"/>
  <c r="E208" i="15"/>
  <c r="M163" i="1"/>
  <c r="E82" i="14"/>
  <c r="E71" i="14"/>
  <c r="E64" i="14"/>
  <c r="C193" i="15"/>
  <c r="C192" i="15" s="1"/>
  <c r="C196" i="15"/>
  <c r="C195" i="15" s="1"/>
  <c r="C61" i="14"/>
  <c r="C60" i="14" s="1"/>
  <c r="C67" i="14"/>
  <c r="C66" i="14" s="1"/>
  <c r="C70" i="14"/>
  <c r="C69" i="14" s="1"/>
  <c r="C76" i="14"/>
  <c r="C75" i="14" s="1"/>
  <c r="C21" i="13"/>
  <c r="C20" i="13" s="1"/>
  <c r="D21" i="13"/>
  <c r="D20" i="13" s="1"/>
  <c r="C214" i="16" l="1"/>
  <c r="M154" i="1"/>
  <c r="G164" i="4"/>
  <c r="F164" i="4"/>
  <c r="C59" i="14"/>
  <c r="E59" i="14"/>
  <c r="E229" i="15"/>
  <c r="E191" i="15"/>
  <c r="L154" i="1"/>
  <c r="C191" i="15"/>
  <c r="C213" i="16"/>
  <c r="C212" i="16" s="1"/>
  <c r="E212" i="16"/>
  <c r="D212" i="16"/>
  <c r="C211" i="16"/>
  <c r="C210" i="16"/>
  <c r="E209" i="16"/>
  <c r="D209" i="16"/>
  <c r="C208" i="16"/>
  <c r="C207" i="16"/>
  <c r="E206" i="16"/>
  <c r="D206" i="16"/>
  <c r="C205" i="16"/>
  <c r="C204" i="16"/>
  <c r="E203" i="16"/>
  <c r="D203" i="16"/>
  <c r="C202" i="16"/>
  <c r="C201" i="16"/>
  <c r="E200" i="16"/>
  <c r="D200" i="16"/>
  <c r="C199" i="16"/>
  <c r="C198" i="16"/>
  <c r="E197" i="16"/>
  <c r="D197" i="16"/>
  <c r="C196" i="16"/>
  <c r="C195" i="16" s="1"/>
  <c r="E195" i="16"/>
  <c r="D195" i="16"/>
  <c r="C194" i="16"/>
  <c r="C193" i="16" s="1"/>
  <c r="E193" i="16"/>
  <c r="D193" i="16"/>
  <c r="C192" i="16"/>
  <c r="C191" i="16"/>
  <c r="E190" i="16"/>
  <c r="D190" i="16"/>
  <c r="C189" i="16"/>
  <c r="C188" i="16"/>
  <c r="E187" i="16"/>
  <c r="D187" i="16"/>
  <c r="C185" i="16"/>
  <c r="C184" i="16" s="1"/>
  <c r="E184" i="16"/>
  <c r="D184" i="16"/>
  <c r="C182" i="16"/>
  <c r="C181" i="16"/>
  <c r="C180" i="16"/>
  <c r="E179" i="16"/>
  <c r="D179" i="16"/>
  <c r="C178" i="16"/>
  <c r="C177" i="16" s="1"/>
  <c r="E177" i="16"/>
  <c r="D177" i="16"/>
  <c r="C176" i="16"/>
  <c r="C175" i="16"/>
  <c r="E174" i="16"/>
  <c r="D174" i="16"/>
  <c r="C173" i="16"/>
  <c r="C172" i="16" s="1"/>
  <c r="E172" i="16"/>
  <c r="D172" i="16"/>
  <c r="C171" i="16"/>
  <c r="C170" i="16"/>
  <c r="C169" i="16"/>
  <c r="E168" i="16"/>
  <c r="D168" i="16"/>
  <c r="C167" i="16"/>
  <c r="C166" i="16"/>
  <c r="E165" i="16"/>
  <c r="D165" i="16"/>
  <c r="C164" i="16"/>
  <c r="C163" i="16" s="1"/>
  <c r="E163" i="16"/>
  <c r="D163" i="16"/>
  <c r="C162" i="16"/>
  <c r="C161" i="16" s="1"/>
  <c r="E161" i="16"/>
  <c r="D161" i="16"/>
  <c r="C160" i="16"/>
  <c r="C159" i="16" s="1"/>
  <c r="E159" i="16"/>
  <c r="D159" i="16"/>
  <c r="C158" i="16"/>
  <c r="C157" i="16"/>
  <c r="C156" i="16"/>
  <c r="E155" i="16"/>
  <c r="D155" i="16"/>
  <c r="C154" i="16"/>
  <c r="C153" i="16"/>
  <c r="E152" i="16"/>
  <c r="D152" i="16"/>
  <c r="C151" i="16"/>
  <c r="C150" i="16"/>
  <c r="E149" i="16"/>
  <c r="D149" i="16"/>
  <c r="C148" i="16"/>
  <c r="C147" i="16" s="1"/>
  <c r="E147" i="16"/>
  <c r="D147" i="16"/>
  <c r="C146" i="16"/>
  <c r="C145" i="16"/>
  <c r="C144" i="16"/>
  <c r="E143" i="16"/>
  <c r="D143" i="16"/>
  <c r="C142" i="16"/>
  <c r="C141" i="16" s="1"/>
  <c r="E141" i="16"/>
  <c r="D141" i="16"/>
  <c r="C140" i="16"/>
  <c r="C139" i="16"/>
  <c r="C138" i="16"/>
  <c r="E137" i="16"/>
  <c r="D137" i="16"/>
  <c r="C136" i="16"/>
  <c r="C135" i="16" s="1"/>
  <c r="E135" i="16"/>
  <c r="D135" i="16"/>
  <c r="C133" i="16"/>
  <c r="C132" i="16" s="1"/>
  <c r="E132" i="16"/>
  <c r="D132" i="16"/>
  <c r="C131" i="16"/>
  <c r="C130" i="16" s="1"/>
  <c r="E130" i="16"/>
  <c r="D130" i="16"/>
  <c r="C129" i="16"/>
  <c r="C128" i="16"/>
  <c r="E127" i="16"/>
  <c r="D127" i="16"/>
  <c r="C126" i="16"/>
  <c r="C125" i="16" s="1"/>
  <c r="E125" i="16"/>
  <c r="D125" i="16"/>
  <c r="C124" i="16"/>
  <c r="C123" i="16" s="1"/>
  <c r="E123" i="16"/>
  <c r="D123" i="16"/>
  <c r="C121" i="16"/>
  <c r="C120" i="16" s="1"/>
  <c r="E120" i="16"/>
  <c r="D120" i="16"/>
  <c r="C119" i="16"/>
  <c r="C118" i="16" s="1"/>
  <c r="E118" i="16"/>
  <c r="D118" i="16"/>
  <c r="C117" i="16"/>
  <c r="C116" i="16" s="1"/>
  <c r="E116" i="16"/>
  <c r="D116" i="16"/>
  <c r="C115" i="16"/>
  <c r="C114" i="16" s="1"/>
  <c r="E114" i="16"/>
  <c r="D114" i="16"/>
  <c r="C113" i="16"/>
  <c r="C112" i="16" s="1"/>
  <c r="E112" i="16"/>
  <c r="D112" i="16"/>
  <c r="C110" i="16"/>
  <c r="C109" i="16" s="1"/>
  <c r="D109" i="16"/>
  <c r="C108" i="16"/>
  <c r="C107" i="16"/>
  <c r="D106" i="16"/>
  <c r="D104" i="16"/>
  <c r="C104" i="16"/>
  <c r="C103" i="16"/>
  <c r="C102" i="16"/>
  <c r="D101" i="16"/>
  <c r="C100" i="16"/>
  <c r="C99" i="16"/>
  <c r="D98" i="16"/>
  <c r="C97" i="16"/>
  <c r="C96" i="16"/>
  <c r="C95" i="16"/>
  <c r="D94" i="16"/>
  <c r="C93" i="16"/>
  <c r="C92" i="16"/>
  <c r="C91" i="16"/>
  <c r="D90" i="16"/>
  <c r="C89" i="16"/>
  <c r="C88" i="16"/>
  <c r="D87" i="16"/>
  <c r="E86" i="16"/>
  <c r="C84" i="16"/>
  <c r="C83" i="16" s="1"/>
  <c r="E83" i="16"/>
  <c r="D83" i="16"/>
  <c r="C82" i="16"/>
  <c r="C81" i="16" s="1"/>
  <c r="E81" i="16"/>
  <c r="D81" i="16"/>
  <c r="C80" i="16"/>
  <c r="C79" i="16" s="1"/>
  <c r="E79" i="16"/>
  <c r="D79" i="16"/>
  <c r="C78" i="16"/>
  <c r="C77" i="16" s="1"/>
  <c r="E77" i="16"/>
  <c r="D77" i="16"/>
  <c r="C76" i="16"/>
  <c r="C75" i="16" s="1"/>
  <c r="E75" i="16"/>
  <c r="D75" i="16"/>
  <c r="C74" i="16"/>
  <c r="C73" i="16" s="1"/>
  <c r="E73" i="16"/>
  <c r="D73" i="16"/>
  <c r="C72" i="16"/>
  <c r="C71" i="16"/>
  <c r="C70" i="16"/>
  <c r="E69" i="16"/>
  <c r="D69" i="16"/>
  <c r="C68" i="16"/>
  <c r="C67" i="16" s="1"/>
  <c r="E67" i="16"/>
  <c r="D67" i="16"/>
  <c r="C66" i="16"/>
  <c r="C65" i="16" s="1"/>
  <c r="E65" i="16"/>
  <c r="D65" i="16"/>
  <c r="C64" i="16"/>
  <c r="C63" i="16" s="1"/>
  <c r="E63" i="16"/>
  <c r="D63" i="16"/>
  <c r="C62" i="16"/>
  <c r="C61" i="16" s="1"/>
  <c r="E61" i="16"/>
  <c r="D61" i="16"/>
  <c r="C60" i="16"/>
  <c r="C59" i="16" s="1"/>
  <c r="E59" i="16"/>
  <c r="D59" i="16"/>
  <c r="C58" i="16"/>
  <c r="C57" i="16" s="1"/>
  <c r="E57" i="16"/>
  <c r="D57" i="16"/>
  <c r="C55" i="16"/>
  <c r="C54" i="16" s="1"/>
  <c r="C53" i="16" s="1"/>
  <c r="E54" i="16"/>
  <c r="E53" i="16" s="1"/>
  <c r="D54" i="16"/>
  <c r="D53" i="16" s="1"/>
  <c r="C51" i="16"/>
  <c r="C50" i="16" s="1"/>
  <c r="E50" i="16"/>
  <c r="D50" i="16"/>
  <c r="C49" i="16"/>
  <c r="C48" i="16" s="1"/>
  <c r="E48" i="16"/>
  <c r="D48" i="16"/>
  <c r="C47" i="16"/>
  <c r="C46" i="16" s="1"/>
  <c r="E46" i="16"/>
  <c r="D46" i="16"/>
  <c r="C45" i="16"/>
  <c r="C44" i="16" s="1"/>
  <c r="E44" i="16"/>
  <c r="D44" i="16"/>
  <c r="C43" i="16"/>
  <c r="C42" i="16"/>
  <c r="C41" i="16"/>
  <c r="E40" i="16"/>
  <c r="D40" i="16"/>
  <c r="C39" i="16"/>
  <c r="C38" i="16" s="1"/>
  <c r="E38" i="16"/>
  <c r="D38" i="16"/>
  <c r="C37" i="16"/>
  <c r="C36" i="16" s="1"/>
  <c r="E36" i="16"/>
  <c r="D36" i="16"/>
  <c r="C35" i="16"/>
  <c r="C34" i="16" s="1"/>
  <c r="E34" i="16"/>
  <c r="D34" i="16"/>
  <c r="C33" i="16"/>
  <c r="C32" i="16"/>
  <c r="C31" i="16"/>
  <c r="E30" i="16"/>
  <c r="D30" i="16"/>
  <c r="C29" i="16"/>
  <c r="C28" i="16"/>
  <c r="E27" i="16"/>
  <c r="D27" i="16"/>
  <c r="C26" i="16"/>
  <c r="C25" i="16" s="1"/>
  <c r="E25" i="16"/>
  <c r="D25" i="16"/>
  <c r="C24" i="16"/>
  <c r="C23" i="16"/>
  <c r="E22" i="16"/>
  <c r="D22" i="16"/>
  <c r="C21" i="16"/>
  <c r="C20" i="16" s="1"/>
  <c r="E20" i="16"/>
  <c r="D20" i="16"/>
  <c r="C19" i="16"/>
  <c r="C18" i="16"/>
  <c r="E17" i="16"/>
  <c r="D17" i="16"/>
  <c r="C16" i="16"/>
  <c r="C15" i="16" s="1"/>
  <c r="E15" i="16"/>
  <c r="D15" i="16"/>
  <c r="C14" i="16"/>
  <c r="C13" i="16"/>
  <c r="E12" i="16"/>
  <c r="D12" i="16"/>
  <c r="E159" i="15"/>
  <c r="E158" i="15" s="1"/>
  <c r="F158" i="15"/>
  <c r="C158" i="15"/>
  <c r="E157" i="15"/>
  <c r="E156" i="15" s="1"/>
  <c r="F156" i="15"/>
  <c r="C156" i="15"/>
  <c r="E155" i="15"/>
  <c r="E154" i="15"/>
  <c r="E153" i="15"/>
  <c r="F152" i="15"/>
  <c r="C152" i="15"/>
  <c r="E151" i="15"/>
  <c r="E150" i="15"/>
  <c r="F149" i="15"/>
  <c r="C149" i="15"/>
  <c r="E148" i="15"/>
  <c r="E147" i="15"/>
  <c r="E146" i="15"/>
  <c r="F145" i="15"/>
  <c r="C145" i="15"/>
  <c r="E144" i="15"/>
  <c r="E143" i="15"/>
  <c r="E142" i="15"/>
  <c r="F141" i="15"/>
  <c r="C141" i="15"/>
  <c r="E140" i="15"/>
  <c r="E139" i="15" s="1"/>
  <c r="F139" i="15"/>
  <c r="C139" i="15"/>
  <c r="E138" i="15"/>
  <c r="E137" i="15"/>
  <c r="F136" i="15"/>
  <c r="C136" i="15"/>
  <c r="E135" i="15"/>
  <c r="E134" i="15" s="1"/>
  <c r="F134" i="15"/>
  <c r="C134" i="15"/>
  <c r="E133" i="15"/>
  <c r="E132" i="15" s="1"/>
  <c r="F132" i="15"/>
  <c r="C132" i="15"/>
  <c r="E131" i="15"/>
  <c r="E130" i="15" s="1"/>
  <c r="F130" i="15"/>
  <c r="C130" i="15"/>
  <c r="E129" i="15"/>
  <c r="E128" i="15"/>
  <c r="F127" i="15"/>
  <c r="C127" i="15"/>
  <c r="E126" i="15"/>
  <c r="F125" i="15"/>
  <c r="E125" i="15" s="1"/>
  <c r="C125" i="15"/>
  <c r="E124" i="15"/>
  <c r="F123" i="15"/>
  <c r="E123" i="15" s="1"/>
  <c r="C123" i="15"/>
  <c r="E122" i="15"/>
  <c r="F121" i="15"/>
  <c r="E121" i="15" s="1"/>
  <c r="C121" i="15"/>
  <c r="E120" i="15"/>
  <c r="F119" i="15"/>
  <c r="E119" i="15" s="1"/>
  <c r="C119" i="15"/>
  <c r="F118" i="15"/>
  <c r="F117" i="15" s="1"/>
  <c r="C118" i="15"/>
  <c r="C117" i="15" s="1"/>
  <c r="G116" i="15"/>
  <c r="D116" i="15"/>
  <c r="E115" i="15"/>
  <c r="E114" i="15"/>
  <c r="E113" i="15"/>
  <c r="E112" i="15"/>
  <c r="F111" i="15"/>
  <c r="F110" i="15" s="1"/>
  <c r="C111" i="15"/>
  <c r="C110" i="15" s="1"/>
  <c r="G110" i="15"/>
  <c r="G109" i="15" s="1"/>
  <c r="G106" i="15" s="1"/>
  <c r="G105" i="15" s="1"/>
  <c r="D110" i="15"/>
  <c r="E108" i="15"/>
  <c r="E107" i="15"/>
  <c r="F106" i="15"/>
  <c r="D106" i="15"/>
  <c r="C106" i="15"/>
  <c r="F104" i="15"/>
  <c r="D104" i="15"/>
  <c r="C104" i="15"/>
  <c r="E103" i="15"/>
  <c r="E102" i="15"/>
  <c r="F101" i="15"/>
  <c r="F99" i="15" s="1"/>
  <c r="E100" i="15"/>
  <c r="G99" i="15"/>
  <c r="D99" i="15"/>
  <c r="C99" i="15"/>
  <c r="E98" i="15"/>
  <c r="E97" i="15"/>
  <c r="G96" i="15"/>
  <c r="F96" i="15"/>
  <c r="D96" i="15"/>
  <c r="C96" i="15"/>
  <c r="E95" i="15"/>
  <c r="E94" i="15"/>
  <c r="E93" i="15"/>
  <c r="E92" i="15"/>
  <c r="G91" i="15"/>
  <c r="F91" i="15"/>
  <c r="D91" i="15"/>
  <c r="C91" i="15"/>
  <c r="E90" i="15"/>
  <c r="E89" i="15"/>
  <c r="E88" i="15"/>
  <c r="E87" i="15"/>
  <c r="G86" i="15"/>
  <c r="F86" i="15"/>
  <c r="D86" i="15"/>
  <c r="C86" i="15"/>
  <c r="G52" i="15"/>
  <c r="F52" i="15"/>
  <c r="E52" i="15"/>
  <c r="D52" i="15"/>
  <c r="C52" i="15"/>
  <c r="E51" i="15"/>
  <c r="E50" i="15"/>
  <c r="E49" i="15"/>
  <c r="E48" i="15"/>
  <c r="E47" i="15"/>
  <c r="G46" i="15"/>
  <c r="F46" i="15"/>
  <c r="D46" i="15"/>
  <c r="C46" i="15"/>
  <c r="E45" i="15"/>
  <c r="E44" i="15" s="1"/>
  <c r="G44" i="15"/>
  <c r="F44" i="15"/>
  <c r="D44" i="15"/>
  <c r="C44" i="15"/>
  <c r="E43" i="15"/>
  <c r="E42" i="15" s="1"/>
  <c r="G42" i="15"/>
  <c r="F42" i="15"/>
  <c r="D42" i="15"/>
  <c r="C42" i="15"/>
  <c r="E41" i="15"/>
  <c r="E40" i="15" s="1"/>
  <c r="G40" i="15"/>
  <c r="F40" i="15"/>
  <c r="D40" i="15"/>
  <c r="C40" i="15"/>
  <c r="E39" i="15"/>
  <c r="E38" i="15" s="1"/>
  <c r="G38" i="15"/>
  <c r="F38" i="15"/>
  <c r="D38" i="15"/>
  <c r="C38" i="15"/>
  <c r="E37" i="15"/>
  <c r="E36" i="15"/>
  <c r="E35" i="15"/>
  <c r="E34" i="15"/>
  <c r="E33" i="15"/>
  <c r="E32" i="15"/>
  <c r="E31" i="15"/>
  <c r="G30" i="15"/>
  <c r="F30" i="15"/>
  <c r="D30" i="15"/>
  <c r="C30" i="15"/>
  <c r="E29" i="15"/>
  <c r="E28" i="15"/>
  <c r="E27" i="15"/>
  <c r="E26" i="15"/>
  <c r="E25" i="15"/>
  <c r="E24" i="15"/>
  <c r="E23" i="15"/>
  <c r="E22" i="15"/>
  <c r="E21" i="15"/>
  <c r="G20" i="15"/>
  <c r="F20" i="15"/>
  <c r="D20" i="15"/>
  <c r="C20" i="15"/>
  <c r="E19" i="15"/>
  <c r="E18" i="15"/>
  <c r="E17" i="15"/>
  <c r="E16" i="15"/>
  <c r="G15" i="15"/>
  <c r="F15" i="15"/>
  <c r="D15" i="15"/>
  <c r="C15" i="15"/>
  <c r="E14" i="15"/>
  <c r="E13" i="15"/>
  <c r="G12" i="15"/>
  <c r="F12" i="15"/>
  <c r="D12" i="15"/>
  <c r="C12" i="15"/>
  <c r="E58" i="14"/>
  <c r="G57" i="14"/>
  <c r="F57" i="14"/>
  <c r="E56" i="14"/>
  <c r="G55" i="14"/>
  <c r="F55" i="14"/>
  <c r="E54" i="14"/>
  <c r="C54" i="14" s="1"/>
  <c r="E53" i="14"/>
  <c r="G52" i="14"/>
  <c r="F52" i="14"/>
  <c r="E51" i="14"/>
  <c r="C51" i="14" s="1"/>
  <c r="C50" i="14" s="1"/>
  <c r="G50" i="14"/>
  <c r="F50" i="14"/>
  <c r="E49" i="14"/>
  <c r="C49" i="14" s="1"/>
  <c r="E48" i="14"/>
  <c r="G47" i="14"/>
  <c r="F47" i="14"/>
  <c r="E46" i="14"/>
  <c r="C46" i="14" s="1"/>
  <c r="C45" i="14" s="1"/>
  <c r="G45" i="14"/>
  <c r="F45" i="14"/>
  <c r="E44" i="14"/>
  <c r="E43" i="14"/>
  <c r="C43" i="14" s="1"/>
  <c r="G42" i="14"/>
  <c r="F42" i="14"/>
  <c r="E41" i="14"/>
  <c r="C41" i="14" s="1"/>
  <c r="E40" i="14"/>
  <c r="G39" i="14"/>
  <c r="F39" i="14"/>
  <c r="E38" i="14"/>
  <c r="C38" i="14" s="1"/>
  <c r="E37" i="14"/>
  <c r="C37" i="14" s="1"/>
  <c r="G36" i="14"/>
  <c r="F36" i="14"/>
  <c r="E35" i="14"/>
  <c r="C35" i="14" s="1"/>
  <c r="E34" i="14"/>
  <c r="C34" i="14" s="1"/>
  <c r="G33" i="14"/>
  <c r="F33" i="14"/>
  <c r="G32" i="14"/>
  <c r="G30" i="14" s="1"/>
  <c r="F32" i="14"/>
  <c r="F30" i="14" s="1"/>
  <c r="E31" i="14"/>
  <c r="E28" i="14"/>
  <c r="E27" i="14"/>
  <c r="G26" i="14"/>
  <c r="F26" i="14"/>
  <c r="D26" i="14"/>
  <c r="C26" i="14"/>
  <c r="E25" i="14"/>
  <c r="E24" i="14" s="1"/>
  <c r="G24" i="14"/>
  <c r="F24" i="14"/>
  <c r="D24" i="14"/>
  <c r="C24" i="14"/>
  <c r="E23" i="14"/>
  <c r="F22" i="14"/>
  <c r="E22" i="14" s="1"/>
  <c r="G21" i="14"/>
  <c r="D21" i="14"/>
  <c r="C21" i="14"/>
  <c r="E20" i="14"/>
  <c r="E19" i="14" s="1"/>
  <c r="G19" i="14"/>
  <c r="F19" i="14"/>
  <c r="D19" i="14"/>
  <c r="E18" i="14"/>
  <c r="E17" i="14"/>
  <c r="E16" i="14"/>
  <c r="G15" i="14"/>
  <c r="F15" i="14"/>
  <c r="D15" i="14"/>
  <c r="C15" i="14"/>
  <c r="E14" i="14"/>
  <c r="E13" i="14"/>
  <c r="G12" i="14"/>
  <c r="F12" i="14"/>
  <c r="D12" i="14"/>
  <c r="C12" i="14"/>
  <c r="C19" i="13"/>
  <c r="C18" i="13" s="1"/>
  <c r="E18" i="13"/>
  <c r="D18" i="13"/>
  <c r="C17" i="13"/>
  <c r="C16" i="13" s="1"/>
  <c r="C15" i="13" s="1"/>
  <c r="D16" i="13"/>
  <c r="D15" i="13" s="1"/>
  <c r="E15" i="13"/>
  <c r="C14" i="13"/>
  <c r="C13" i="13" s="1"/>
  <c r="E13" i="13"/>
  <c r="D13" i="13"/>
  <c r="C12" i="13"/>
  <c r="C11" i="13" s="1"/>
  <c r="C10" i="13" s="1"/>
  <c r="E11" i="13"/>
  <c r="E10" i="13" s="1"/>
  <c r="D11" i="13"/>
  <c r="D10" i="13" s="1"/>
  <c r="C200" i="16" l="1"/>
  <c r="C40" i="16"/>
  <c r="C206" i="16"/>
  <c r="C12" i="16"/>
  <c r="C152" i="16"/>
  <c r="D186" i="16"/>
  <c r="D183" i="16" s="1"/>
  <c r="C106" i="16"/>
  <c r="C165" i="16"/>
  <c r="C30" i="16"/>
  <c r="C22" i="16"/>
  <c r="C155" i="16"/>
  <c r="C203" i="16"/>
  <c r="D86" i="16"/>
  <c r="D134" i="16"/>
  <c r="C94" i="16"/>
  <c r="D111" i="16"/>
  <c r="C137" i="16"/>
  <c r="E136" i="15"/>
  <c r="C87" i="16"/>
  <c r="E111" i="16"/>
  <c r="E85" i="16" s="1"/>
  <c r="E186" i="16"/>
  <c r="E183" i="16" s="1"/>
  <c r="D56" i="16"/>
  <c r="E134" i="16"/>
  <c r="C179" i="16"/>
  <c r="C187" i="16"/>
  <c r="E15" i="14"/>
  <c r="E56" i="16"/>
  <c r="E52" i="16" s="1"/>
  <c r="E50" i="14"/>
  <c r="C27" i="16"/>
  <c r="C17" i="16"/>
  <c r="C90" i="16"/>
  <c r="C174" i="16"/>
  <c r="C209" i="16"/>
  <c r="E9" i="13"/>
  <c r="C143" i="16"/>
  <c r="E11" i="16"/>
  <c r="C33" i="14"/>
  <c r="D52" i="16"/>
  <c r="E45" i="14"/>
  <c r="E12" i="14"/>
  <c r="D11" i="16"/>
  <c r="D85" i="15"/>
  <c r="E12" i="15"/>
  <c r="C116" i="15"/>
  <c r="C36" i="14"/>
  <c r="E26" i="14"/>
  <c r="E36" i="14"/>
  <c r="G11" i="14"/>
  <c r="F21" i="14"/>
  <c r="F11" i="14" s="1"/>
  <c r="E32" i="14"/>
  <c r="C32" i="14" s="1"/>
  <c r="G29" i="14"/>
  <c r="E46" i="15"/>
  <c r="E96" i="15"/>
  <c r="D11" i="15"/>
  <c r="E101" i="15"/>
  <c r="E99" i="15" s="1"/>
  <c r="E111" i="15"/>
  <c r="E110" i="15" s="1"/>
  <c r="G11" i="15"/>
  <c r="E141" i="15"/>
  <c r="F11" i="15"/>
  <c r="E15" i="15"/>
  <c r="E20" i="15"/>
  <c r="C11" i="15"/>
  <c r="C69" i="16"/>
  <c r="C56" i="16" s="1"/>
  <c r="C52" i="16" s="1"/>
  <c r="C101" i="16"/>
  <c r="C149" i="16"/>
  <c r="C197" i="16"/>
  <c r="C98" i="16"/>
  <c r="C127" i="16"/>
  <c r="C111" i="16" s="1"/>
  <c r="C168" i="16"/>
  <c r="C190" i="16"/>
  <c r="E30" i="15"/>
  <c r="E86" i="15"/>
  <c r="E91" i="15"/>
  <c r="E149" i="15"/>
  <c r="E145" i="15"/>
  <c r="E152" i="15"/>
  <c r="E109" i="15"/>
  <c r="E106" i="15" s="1"/>
  <c r="E127" i="15"/>
  <c r="D11" i="14"/>
  <c r="D10" i="14" s="1"/>
  <c r="E21" i="14"/>
  <c r="E57" i="14"/>
  <c r="C58" i="14"/>
  <c r="C57" i="14" s="1"/>
  <c r="E47" i="14"/>
  <c r="C48" i="14"/>
  <c r="C47" i="14" s="1"/>
  <c r="E52" i="14"/>
  <c r="C53" i="14"/>
  <c r="C52" i="14" s="1"/>
  <c r="C20" i="14"/>
  <c r="C19" i="14" s="1"/>
  <c r="C11" i="14" s="1"/>
  <c r="E42" i="14"/>
  <c r="C44" i="14"/>
  <c r="C42" i="14" s="1"/>
  <c r="E33" i="14"/>
  <c r="C31" i="14"/>
  <c r="E39" i="14"/>
  <c r="C40" i="14"/>
  <c r="C39" i="14" s="1"/>
  <c r="E55" i="14"/>
  <c r="C56" i="14"/>
  <c r="C55" i="14" s="1"/>
  <c r="F29" i="14"/>
  <c r="C9" i="13"/>
  <c r="D9" i="13"/>
  <c r="C85" i="15"/>
  <c r="F85" i="15"/>
  <c r="G104" i="15"/>
  <c r="G85" i="15" s="1"/>
  <c r="E105" i="15"/>
  <c r="E104" i="15" s="1"/>
  <c r="E117" i="15"/>
  <c r="F116" i="15"/>
  <c r="E118" i="15"/>
  <c r="C86" i="16" l="1"/>
  <c r="D10" i="15"/>
  <c r="C11" i="16"/>
  <c r="C134" i="16"/>
  <c r="D85" i="16"/>
  <c r="D10" i="16" s="1"/>
  <c r="E11" i="14"/>
  <c r="C186" i="16"/>
  <c r="C183" i="16" s="1"/>
  <c r="E10" i="16"/>
  <c r="G10" i="14"/>
  <c r="F10" i="15"/>
  <c r="G10" i="15"/>
  <c r="C10" i="15"/>
  <c r="C30" i="14"/>
  <c r="C29" i="14" s="1"/>
  <c r="C10" i="14" s="1"/>
  <c r="E30" i="14"/>
  <c r="E29" i="14"/>
  <c r="E10" i="14" s="1"/>
  <c r="E11" i="15"/>
  <c r="E85" i="15"/>
  <c r="E116" i="15"/>
  <c r="F10" i="14"/>
  <c r="C85" i="16"/>
  <c r="C10" i="16" l="1"/>
  <c r="E10" i="15"/>
  <c r="G152" i="1"/>
  <c r="H152" i="1"/>
  <c r="J152" i="1"/>
  <c r="K152" i="1"/>
  <c r="E149" i="1"/>
  <c r="G149" i="1"/>
  <c r="H149" i="1"/>
  <c r="J149" i="1"/>
  <c r="K149" i="1"/>
  <c r="D147" i="1"/>
  <c r="E147" i="1"/>
  <c r="G147" i="1"/>
  <c r="H147" i="1"/>
  <c r="J147" i="1"/>
  <c r="K147" i="1"/>
  <c r="D145" i="1"/>
  <c r="E145" i="1"/>
  <c r="H145" i="1"/>
  <c r="J145" i="1"/>
  <c r="K145" i="1"/>
  <c r="D142" i="1"/>
  <c r="E142" i="1"/>
  <c r="G142" i="1"/>
  <c r="H142" i="1"/>
  <c r="J142" i="1"/>
  <c r="K142" i="1"/>
  <c r="C143" i="1"/>
  <c r="E139" i="1"/>
  <c r="G139" i="1"/>
  <c r="H139" i="1"/>
  <c r="K139" i="1"/>
  <c r="D136" i="1"/>
  <c r="E136" i="1"/>
  <c r="G136" i="1"/>
  <c r="H136" i="1"/>
  <c r="K136" i="1"/>
  <c r="E134" i="1"/>
  <c r="G134" i="1"/>
  <c r="H134" i="1"/>
  <c r="K134" i="1"/>
  <c r="G132" i="1"/>
  <c r="H132" i="1"/>
  <c r="J132" i="1"/>
  <c r="K132" i="1"/>
  <c r="E130" i="1"/>
  <c r="G130" i="1"/>
  <c r="H130" i="1"/>
  <c r="I130" i="1"/>
  <c r="J130" i="1"/>
  <c r="K130" i="1"/>
  <c r="E128" i="1"/>
  <c r="G128" i="1"/>
  <c r="H128" i="1"/>
  <c r="I128" i="1"/>
  <c r="J128" i="1"/>
  <c r="K128" i="1"/>
  <c r="D125" i="1"/>
  <c r="E125" i="1"/>
  <c r="H125" i="1"/>
  <c r="I125" i="1"/>
  <c r="J125" i="1"/>
  <c r="K125" i="1"/>
  <c r="D122" i="1"/>
  <c r="E122" i="1"/>
  <c r="G122" i="1"/>
  <c r="H122" i="1"/>
  <c r="I122" i="1"/>
  <c r="J122" i="1"/>
  <c r="K122" i="1"/>
  <c r="D120" i="1"/>
  <c r="E120" i="1"/>
  <c r="H120" i="1"/>
  <c r="I120" i="1"/>
  <c r="J120" i="1"/>
  <c r="K120" i="1"/>
  <c r="C121" i="1"/>
  <c r="C120" i="1" s="1"/>
  <c r="H141" i="1" l="1"/>
  <c r="K141" i="1"/>
  <c r="J141" i="1"/>
  <c r="H116" i="1"/>
  <c r="H115" i="1" s="1"/>
  <c r="K116" i="1"/>
  <c r="M118" i="1"/>
  <c r="N118" i="1"/>
  <c r="N119" i="1"/>
  <c r="N121" i="1"/>
  <c r="N120" i="1" s="1"/>
  <c r="M123" i="1"/>
  <c r="N123" i="1"/>
  <c r="M124" i="1"/>
  <c r="N124" i="1"/>
  <c r="N126" i="1"/>
  <c r="M127" i="1"/>
  <c r="N127" i="1"/>
  <c r="N129" i="1"/>
  <c r="N128" i="1" s="1"/>
  <c r="N131" i="1"/>
  <c r="N130" i="1" s="1"/>
  <c r="N135" i="1"/>
  <c r="N134" i="1" s="1"/>
  <c r="N137" i="1"/>
  <c r="M138" i="1"/>
  <c r="N138" i="1"/>
  <c r="N140" i="1"/>
  <c r="M143" i="1"/>
  <c r="N143" i="1"/>
  <c r="M144" i="1"/>
  <c r="N144" i="1"/>
  <c r="N146" i="1"/>
  <c r="N145" i="1" s="1"/>
  <c r="M148" i="1"/>
  <c r="N148" i="1"/>
  <c r="N147" i="1" s="1"/>
  <c r="M150" i="1"/>
  <c r="N150" i="1"/>
  <c r="N151" i="1"/>
  <c r="I138" i="1"/>
  <c r="I143" i="1"/>
  <c r="I144" i="1"/>
  <c r="I146" i="1"/>
  <c r="I145" i="1" s="1"/>
  <c r="I148" i="1"/>
  <c r="I147" i="1" s="1"/>
  <c r="I150" i="1"/>
  <c r="I151" i="1"/>
  <c r="I30" i="1" s="1"/>
  <c r="I153" i="1"/>
  <c r="I152" i="1" s="1"/>
  <c r="I133" i="1"/>
  <c r="I132" i="1" s="1"/>
  <c r="F123" i="1"/>
  <c r="C123" i="1"/>
  <c r="F124" i="1"/>
  <c r="F127" i="1"/>
  <c r="F129" i="1"/>
  <c r="F128" i="1" s="1"/>
  <c r="F131" i="1"/>
  <c r="F130" i="1" s="1"/>
  <c r="F133" i="1"/>
  <c r="F132" i="1" s="1"/>
  <c r="F135" i="1"/>
  <c r="F134" i="1" s="1"/>
  <c r="F137" i="1"/>
  <c r="F138" i="1"/>
  <c r="F140" i="1"/>
  <c r="F143" i="1"/>
  <c r="F144" i="1"/>
  <c r="F148" i="1"/>
  <c r="F147" i="1" s="1"/>
  <c r="F150" i="1"/>
  <c r="F151" i="1"/>
  <c r="F153" i="1"/>
  <c r="F152" i="1" s="1"/>
  <c r="F118" i="1"/>
  <c r="C124" i="1"/>
  <c r="C126" i="1"/>
  <c r="C127" i="1"/>
  <c r="C137" i="1"/>
  <c r="C138" i="1"/>
  <c r="C144" i="1"/>
  <c r="C142" i="1" s="1"/>
  <c r="C146" i="1"/>
  <c r="C145" i="1" s="1"/>
  <c r="C148" i="1"/>
  <c r="C147" i="1" s="1"/>
  <c r="C150" i="1"/>
  <c r="C118" i="1"/>
  <c r="E153" i="1"/>
  <c r="E152" i="1" s="1"/>
  <c r="E141" i="1" s="1"/>
  <c r="D153" i="1"/>
  <c r="D152" i="1" s="1"/>
  <c r="D151" i="1"/>
  <c r="D149" i="1" s="1"/>
  <c r="G146" i="1"/>
  <c r="G145" i="1" s="1"/>
  <c r="G141" i="1" s="1"/>
  <c r="J140" i="1"/>
  <c r="J29" i="1" s="1"/>
  <c r="J28" i="1" s="1"/>
  <c r="D140" i="1"/>
  <c r="D29" i="1" s="1"/>
  <c r="J137" i="1"/>
  <c r="J135" i="1"/>
  <c r="J19" i="1" s="1"/>
  <c r="D135" i="1"/>
  <c r="D134" i="1" s="1"/>
  <c r="E133" i="1"/>
  <c r="D133" i="1"/>
  <c r="D131" i="1"/>
  <c r="D130" i="1" s="1"/>
  <c r="D129" i="1"/>
  <c r="D128" i="1" s="1"/>
  <c r="G126" i="1"/>
  <c r="G125" i="1" s="1"/>
  <c r="G121" i="1"/>
  <c r="G120" i="1" s="1"/>
  <c r="G119" i="1"/>
  <c r="D119" i="1"/>
  <c r="D14" i="1" s="1"/>
  <c r="E132" i="1" l="1"/>
  <c r="E17" i="1"/>
  <c r="E15" i="1" s="1"/>
  <c r="C136" i="1"/>
  <c r="C21" i="1"/>
  <c r="N139" i="1"/>
  <c r="J134" i="1"/>
  <c r="J18" i="1"/>
  <c r="G117" i="1"/>
  <c r="G116" i="1" s="1"/>
  <c r="G115" i="1" s="1"/>
  <c r="G14" i="1"/>
  <c r="G12" i="1" s="1"/>
  <c r="J136" i="1"/>
  <c r="J21" i="1"/>
  <c r="J20" i="1" s="1"/>
  <c r="F139" i="1"/>
  <c r="D139" i="1"/>
  <c r="N136" i="1"/>
  <c r="N21" i="1"/>
  <c r="J139" i="1"/>
  <c r="F136" i="1"/>
  <c r="F21" i="1"/>
  <c r="F19" i="4" s="1"/>
  <c r="D132" i="1"/>
  <c r="D17" i="1"/>
  <c r="K115" i="1"/>
  <c r="D141" i="1"/>
  <c r="N142" i="1"/>
  <c r="C125" i="1"/>
  <c r="F121" i="1"/>
  <c r="F120" i="1" s="1"/>
  <c r="C140" i="1"/>
  <c r="F119" i="1"/>
  <c r="F117" i="1" s="1"/>
  <c r="N149" i="1"/>
  <c r="N117" i="1"/>
  <c r="L118" i="1"/>
  <c r="F122" i="1"/>
  <c r="I142" i="1"/>
  <c r="M119" i="1"/>
  <c r="L119" i="1" s="1"/>
  <c r="D117" i="1"/>
  <c r="C129" i="1"/>
  <c r="C128" i="1" s="1"/>
  <c r="I140" i="1"/>
  <c r="L124" i="1"/>
  <c r="M153" i="1"/>
  <c r="M152" i="1" s="1"/>
  <c r="C131" i="1"/>
  <c r="C130" i="1" s="1"/>
  <c r="N153" i="1"/>
  <c r="N152" i="1" s="1"/>
  <c r="M146" i="1"/>
  <c r="L146" i="1" s="1"/>
  <c r="L145" i="1" s="1"/>
  <c r="M131" i="1"/>
  <c r="L131" i="1" s="1"/>
  <c r="L130" i="1" s="1"/>
  <c r="N122" i="1"/>
  <c r="F146" i="1"/>
  <c r="F145" i="1" s="1"/>
  <c r="M151" i="1"/>
  <c r="L151" i="1" s="1"/>
  <c r="L144" i="1"/>
  <c r="M137" i="1"/>
  <c r="M129" i="1"/>
  <c r="M128" i="1" s="1"/>
  <c r="E116" i="1"/>
  <c r="E115" i="1" s="1"/>
  <c r="C153" i="1"/>
  <c r="C152" i="1" s="1"/>
  <c r="C119" i="1"/>
  <c r="C117" i="1" s="1"/>
  <c r="F142" i="1"/>
  <c r="M135" i="1"/>
  <c r="L135" i="1" s="1"/>
  <c r="L134" i="1" s="1"/>
  <c r="M121" i="1"/>
  <c r="L121" i="1" s="1"/>
  <c r="L120" i="1" s="1"/>
  <c r="C151" i="1"/>
  <c r="C149" i="1" s="1"/>
  <c r="C135" i="1"/>
  <c r="C134" i="1" s="1"/>
  <c r="F126" i="1"/>
  <c r="F125" i="1" s="1"/>
  <c r="I137" i="1"/>
  <c r="N133" i="1"/>
  <c r="N132" i="1" s="1"/>
  <c r="C133" i="1"/>
  <c r="C132" i="1" s="1"/>
  <c r="I135" i="1"/>
  <c r="I134" i="1" s="1"/>
  <c r="M140" i="1"/>
  <c r="M133" i="1"/>
  <c r="M132" i="1" s="1"/>
  <c r="M126" i="1"/>
  <c r="L126" i="1" s="1"/>
  <c r="L150" i="1"/>
  <c r="L123" i="1"/>
  <c r="M122" i="1"/>
  <c r="I149" i="1"/>
  <c r="L148" i="1"/>
  <c r="L147" i="1" s="1"/>
  <c r="M147" i="1"/>
  <c r="N125" i="1"/>
  <c r="L143" i="1"/>
  <c r="M142" i="1"/>
  <c r="L127" i="1"/>
  <c r="F149" i="1"/>
  <c r="L138" i="1"/>
  <c r="C122" i="1"/>
  <c r="D161" i="4"/>
  <c r="E161" i="4"/>
  <c r="C163" i="4"/>
  <c r="G163" i="4" s="1"/>
  <c r="C162" i="4"/>
  <c r="D159" i="4"/>
  <c r="E159" i="4"/>
  <c r="C160" i="4"/>
  <c r="D157" i="4"/>
  <c r="E157" i="4"/>
  <c r="C158" i="4"/>
  <c r="D154" i="4"/>
  <c r="E154" i="4"/>
  <c r="C156" i="4"/>
  <c r="G156" i="4" s="1"/>
  <c r="C155" i="4"/>
  <c r="D151" i="4"/>
  <c r="E151" i="4"/>
  <c r="C152" i="4"/>
  <c r="D149" i="4"/>
  <c r="E149" i="4"/>
  <c r="C150" i="4"/>
  <c r="D146" i="4"/>
  <c r="E146" i="4"/>
  <c r="E24" i="4" s="1"/>
  <c r="C148" i="4"/>
  <c r="G148" i="4" s="1"/>
  <c r="C147" i="4"/>
  <c r="G147" i="4" s="1"/>
  <c r="C144" i="4"/>
  <c r="G144" i="4" s="1"/>
  <c r="G146" i="4" l="1"/>
  <c r="C159" i="4"/>
  <c r="G160" i="4"/>
  <c r="G159" i="4" s="1"/>
  <c r="C151" i="4"/>
  <c r="G152" i="4"/>
  <c r="G151" i="4" s="1"/>
  <c r="C154" i="4"/>
  <c r="G155" i="4"/>
  <c r="G154" i="4" s="1"/>
  <c r="J116" i="1"/>
  <c r="J115" i="1" s="1"/>
  <c r="C157" i="4"/>
  <c r="G158" i="4"/>
  <c r="G157" i="4" s="1"/>
  <c r="C161" i="4"/>
  <c r="G162" i="4"/>
  <c r="G161" i="4" s="1"/>
  <c r="C149" i="4"/>
  <c r="G150" i="4"/>
  <c r="G149" i="4" s="1"/>
  <c r="D116" i="1"/>
  <c r="D115" i="1" s="1"/>
  <c r="L142" i="1"/>
  <c r="I136" i="1"/>
  <c r="I21" i="1"/>
  <c r="C139" i="1"/>
  <c r="C116" i="1" s="1"/>
  <c r="L137" i="1"/>
  <c r="M21" i="1"/>
  <c r="L140" i="1"/>
  <c r="I139" i="1"/>
  <c r="L122" i="1"/>
  <c r="L153" i="1"/>
  <c r="L152" i="1" s="1"/>
  <c r="I141" i="1"/>
  <c r="M125" i="1"/>
  <c r="L129" i="1"/>
  <c r="L128" i="1" s="1"/>
  <c r="M130" i="1"/>
  <c r="M149" i="1"/>
  <c r="L133" i="1"/>
  <c r="L132" i="1" s="1"/>
  <c r="N141" i="1"/>
  <c r="M136" i="1"/>
  <c r="M120" i="1"/>
  <c r="M117" i="1"/>
  <c r="C141" i="1"/>
  <c r="L117" i="1"/>
  <c r="M134" i="1"/>
  <c r="M139" i="1"/>
  <c r="M145" i="1"/>
  <c r="F116" i="1"/>
  <c r="C146" i="4"/>
  <c r="L149" i="1"/>
  <c r="N116" i="1"/>
  <c r="F141" i="1"/>
  <c r="L125" i="1"/>
  <c r="D153" i="4"/>
  <c r="E153" i="4"/>
  <c r="D143" i="4"/>
  <c r="E143" i="4"/>
  <c r="C145" i="4"/>
  <c r="D141" i="4"/>
  <c r="E141" i="4"/>
  <c r="C142" i="4"/>
  <c r="C140" i="4"/>
  <c r="G140" i="4" s="1"/>
  <c r="C139" i="4"/>
  <c r="C153" i="4" l="1"/>
  <c r="C115" i="1"/>
  <c r="G153" i="4"/>
  <c r="C143" i="4"/>
  <c r="G145" i="4"/>
  <c r="G143" i="4" s="1"/>
  <c r="C138" i="4"/>
  <c r="G139" i="4"/>
  <c r="G138" i="4" s="1"/>
  <c r="C141" i="4"/>
  <c r="G142" i="4"/>
  <c r="G141" i="4" s="1"/>
  <c r="I116" i="1"/>
  <c r="I115" i="1" s="1"/>
  <c r="M141" i="1"/>
  <c r="L139" i="1"/>
  <c r="L136" i="1"/>
  <c r="L21" i="1"/>
  <c r="L141" i="1"/>
  <c r="F115" i="1"/>
  <c r="M116" i="1"/>
  <c r="N115" i="1"/>
  <c r="E137" i="4"/>
  <c r="E136" i="4" s="1"/>
  <c r="D137" i="4"/>
  <c r="D136" i="4" s="1"/>
  <c r="E93" i="4"/>
  <c r="C96" i="4"/>
  <c r="C137" i="4" l="1"/>
  <c r="C136" i="4" s="1"/>
  <c r="L116" i="1"/>
  <c r="L115" i="1" s="1"/>
  <c r="G137" i="4"/>
  <c r="G136" i="4" s="1"/>
  <c r="M115" i="1"/>
  <c r="D25" i="4"/>
  <c r="E25" i="4"/>
  <c r="D23" i="4"/>
  <c r="E23" i="4"/>
  <c r="D17" i="4"/>
  <c r="E17" i="4"/>
  <c r="E27" i="4" l="1"/>
  <c r="D134" i="4" l="1"/>
  <c r="E134" i="4"/>
  <c r="C135" i="4" l="1"/>
  <c r="C133" i="4"/>
  <c r="G133" i="4" s="1"/>
  <c r="D131" i="4"/>
  <c r="D130" i="4" s="1"/>
  <c r="E131" i="4"/>
  <c r="E130" i="4" s="1"/>
  <c r="C132" i="4"/>
  <c r="G132" i="4" s="1"/>
  <c r="G131" i="4" s="1"/>
  <c r="D126" i="4"/>
  <c r="E126" i="4"/>
  <c r="C128" i="4"/>
  <c r="G128" i="4" s="1"/>
  <c r="C129" i="4"/>
  <c r="C127" i="4"/>
  <c r="G127" i="4" s="1"/>
  <c r="D124" i="4"/>
  <c r="E124" i="4"/>
  <c r="C125" i="4"/>
  <c r="C123" i="4"/>
  <c r="C122" i="4"/>
  <c r="G122" i="4" s="1"/>
  <c r="D120" i="4"/>
  <c r="E120" i="4"/>
  <c r="C121" i="4"/>
  <c r="G121" i="4" s="1"/>
  <c r="C118" i="4"/>
  <c r="D80" i="1"/>
  <c r="E80" i="1"/>
  <c r="G80" i="1"/>
  <c r="H80" i="1"/>
  <c r="J80" i="1"/>
  <c r="K80" i="1"/>
  <c r="N81" i="1"/>
  <c r="N80" i="1" s="1"/>
  <c r="M81" i="1"/>
  <c r="M80" i="1" s="1"/>
  <c r="I81" i="1"/>
  <c r="I80" i="1" s="1"/>
  <c r="C81" i="1"/>
  <c r="C80" i="1" s="1"/>
  <c r="F81" i="1"/>
  <c r="F80" i="1" s="1"/>
  <c r="D117" i="4"/>
  <c r="E117" i="4"/>
  <c r="C119" i="4"/>
  <c r="D115" i="4"/>
  <c r="E115" i="4"/>
  <c r="C116" i="4"/>
  <c r="G120" i="4" l="1"/>
  <c r="C115" i="4"/>
  <c r="G116" i="4"/>
  <c r="G115" i="4" s="1"/>
  <c r="C124" i="4"/>
  <c r="G125" i="4"/>
  <c r="G124" i="4" s="1"/>
  <c r="C134" i="4"/>
  <c r="G135" i="4"/>
  <c r="G134" i="4" s="1"/>
  <c r="G130" i="4" s="1"/>
  <c r="C131" i="4"/>
  <c r="C126" i="4"/>
  <c r="C117" i="4"/>
  <c r="L81" i="1"/>
  <c r="L80" i="1" s="1"/>
  <c r="E114" i="4"/>
  <c r="E113" i="4" s="1"/>
  <c r="C120" i="4"/>
  <c r="D114" i="4"/>
  <c r="D113" i="4" s="1"/>
  <c r="N73" i="1"/>
  <c r="M73" i="1"/>
  <c r="N74" i="1"/>
  <c r="M74" i="1"/>
  <c r="L74" i="1" s="1"/>
  <c r="N77" i="1"/>
  <c r="M77" i="1"/>
  <c r="N75" i="1"/>
  <c r="M75" i="1"/>
  <c r="F75" i="1"/>
  <c r="F123" i="4" s="1"/>
  <c r="G123" i="4" s="1"/>
  <c r="C75" i="1"/>
  <c r="N79" i="1"/>
  <c r="M79" i="1"/>
  <c r="I79" i="1"/>
  <c r="I73" i="1"/>
  <c r="I74" i="1"/>
  <c r="F73" i="1"/>
  <c r="F118" i="4" s="1"/>
  <c r="F74" i="1"/>
  <c r="F119" i="4" s="1"/>
  <c r="G119" i="4" s="1"/>
  <c r="C73" i="1"/>
  <c r="C74" i="1"/>
  <c r="C78" i="1"/>
  <c r="C130" i="4" l="1"/>
  <c r="C114" i="4"/>
  <c r="C113" i="4" s="1"/>
  <c r="F117" i="4"/>
  <c r="G118" i="4"/>
  <c r="G117" i="4" s="1"/>
  <c r="L75" i="1"/>
  <c r="L77" i="1"/>
  <c r="L73" i="1"/>
  <c r="C72" i="1"/>
  <c r="L79" i="1"/>
  <c r="L78" i="1" s="1"/>
  <c r="D76" i="1"/>
  <c r="E76" i="1"/>
  <c r="G76" i="1"/>
  <c r="H76" i="1"/>
  <c r="I76" i="1"/>
  <c r="J76" i="1"/>
  <c r="K76" i="1"/>
  <c r="C77" i="1"/>
  <c r="C76" i="1" s="1"/>
  <c r="F77" i="1"/>
  <c r="M76" i="1"/>
  <c r="N76" i="1"/>
  <c r="D78" i="1"/>
  <c r="E78" i="1"/>
  <c r="F78" i="1"/>
  <c r="G78" i="1"/>
  <c r="H78" i="1"/>
  <c r="J78" i="1"/>
  <c r="K78" i="1"/>
  <c r="I78" i="1"/>
  <c r="N78" i="1"/>
  <c r="F76" i="1" l="1"/>
  <c r="F129" i="4"/>
  <c r="C71" i="1"/>
  <c r="C70" i="1" s="1"/>
  <c r="L76" i="1"/>
  <c r="M78" i="1"/>
  <c r="F126" i="4" l="1"/>
  <c r="F114" i="4" s="1"/>
  <c r="F113" i="4" s="1"/>
  <c r="G129" i="4"/>
  <c r="G126" i="4" s="1"/>
  <c r="G114" i="4" s="1"/>
  <c r="G113" i="4" s="1"/>
  <c r="I42" i="1"/>
  <c r="E42" i="1"/>
  <c r="E19" i="1" s="1"/>
  <c r="D42" i="1"/>
  <c r="D19" i="1" s="1"/>
  <c r="K41" i="1"/>
  <c r="J41" i="1"/>
  <c r="H41" i="1"/>
  <c r="G41" i="1"/>
  <c r="F41" i="1"/>
  <c r="F40" i="1"/>
  <c r="F67" i="4" s="1"/>
  <c r="F64" i="4" s="1"/>
  <c r="E40" i="1"/>
  <c r="D40" i="1"/>
  <c r="K39" i="1"/>
  <c r="J39" i="1"/>
  <c r="I39" i="1"/>
  <c r="H39" i="1"/>
  <c r="G39" i="1"/>
  <c r="N38" i="1"/>
  <c r="I38" i="1"/>
  <c r="F38" i="1"/>
  <c r="F63" i="4" s="1"/>
  <c r="F62" i="4" s="1"/>
  <c r="D38" i="1"/>
  <c r="K37" i="1"/>
  <c r="J37" i="1"/>
  <c r="H37" i="1"/>
  <c r="G37" i="1"/>
  <c r="E37" i="1"/>
  <c r="F36" i="1"/>
  <c r="F60" i="4" s="1"/>
  <c r="F59" i="4" s="1"/>
  <c r="E36" i="1"/>
  <c r="D36" i="1"/>
  <c r="K35" i="1"/>
  <c r="J35" i="1"/>
  <c r="I35" i="1"/>
  <c r="H35" i="1"/>
  <c r="G35" i="1"/>
  <c r="C42" i="1" l="1"/>
  <c r="F58" i="4"/>
  <c r="F57" i="4" s="1"/>
  <c r="N40" i="1"/>
  <c r="E22" i="1"/>
  <c r="E20" i="1" s="1"/>
  <c r="F39" i="1"/>
  <c r="C40" i="1"/>
  <c r="M38" i="1"/>
  <c r="M37" i="1" s="1"/>
  <c r="N36" i="1"/>
  <c r="E13" i="1"/>
  <c r="E12" i="1" s="1"/>
  <c r="F35" i="1"/>
  <c r="M42" i="1"/>
  <c r="D18" i="1"/>
  <c r="C41" i="1"/>
  <c r="I37" i="1"/>
  <c r="N37" i="1"/>
  <c r="N42" i="1"/>
  <c r="E18" i="1"/>
  <c r="M36" i="1"/>
  <c r="M35" i="1" s="1"/>
  <c r="D13" i="1"/>
  <c r="D12" i="1" s="1"/>
  <c r="F37" i="1"/>
  <c r="I41" i="1"/>
  <c r="C38" i="1"/>
  <c r="J34" i="1"/>
  <c r="H34" i="1"/>
  <c r="G34" i="1"/>
  <c r="C36" i="1"/>
  <c r="D37" i="1"/>
  <c r="K34" i="1"/>
  <c r="D39" i="1"/>
  <c r="M40" i="1"/>
  <c r="D35" i="1"/>
  <c r="E39" i="1"/>
  <c r="E35" i="1"/>
  <c r="D41" i="1"/>
  <c r="E41" i="1"/>
  <c r="F34" i="1" l="1"/>
  <c r="I34" i="1"/>
  <c r="L36" i="1"/>
  <c r="L35" i="1" s="1"/>
  <c r="C39" i="1"/>
  <c r="M39" i="1"/>
  <c r="N39" i="1"/>
  <c r="C35" i="1"/>
  <c r="L42" i="1"/>
  <c r="N41" i="1"/>
  <c r="M41" i="1"/>
  <c r="N35" i="1"/>
  <c r="C37" i="1"/>
  <c r="L38" i="1"/>
  <c r="D34" i="1"/>
  <c r="E34" i="1"/>
  <c r="L40" i="1"/>
  <c r="D110" i="4"/>
  <c r="E110" i="4"/>
  <c r="C112" i="4"/>
  <c r="C111" i="4"/>
  <c r="D108" i="4"/>
  <c r="E108" i="4"/>
  <c r="C109" i="4"/>
  <c r="C107" i="4"/>
  <c r="D104" i="4"/>
  <c r="E104" i="4"/>
  <c r="C106" i="4"/>
  <c r="C105" i="4"/>
  <c r="D102" i="4"/>
  <c r="E102" i="4"/>
  <c r="C103" i="4"/>
  <c r="D99" i="4"/>
  <c r="E99" i="4"/>
  <c r="C101" i="4"/>
  <c r="C100" i="4"/>
  <c r="C102" i="4" l="1"/>
  <c r="C108" i="4"/>
  <c r="C34" i="1"/>
  <c r="M34" i="1"/>
  <c r="L39" i="1"/>
  <c r="N34" i="1"/>
  <c r="L37" i="1"/>
  <c r="L41" i="1"/>
  <c r="D98" i="4"/>
  <c r="D97" i="4" s="1"/>
  <c r="C104" i="4"/>
  <c r="E98" i="4"/>
  <c r="E97" i="4" s="1"/>
  <c r="C99" i="4"/>
  <c r="C110" i="4"/>
  <c r="N114" i="1"/>
  <c r="C114" i="1"/>
  <c r="D112" i="1"/>
  <c r="E112" i="1"/>
  <c r="G112" i="1"/>
  <c r="H112" i="1"/>
  <c r="J112" i="1"/>
  <c r="K112" i="1"/>
  <c r="N113" i="1"/>
  <c r="N112" i="1" s="1"/>
  <c r="M113" i="1"/>
  <c r="I113" i="1"/>
  <c r="I112" i="1" s="1"/>
  <c r="F113" i="1"/>
  <c r="F112" i="1" s="1"/>
  <c r="D110" i="1"/>
  <c r="E110" i="1"/>
  <c r="F110" i="1"/>
  <c r="G110" i="1"/>
  <c r="H110" i="1"/>
  <c r="K110" i="1"/>
  <c r="C113" i="1"/>
  <c r="C112" i="1" s="1"/>
  <c r="N111" i="1"/>
  <c r="N110" i="1" s="1"/>
  <c r="C111" i="1"/>
  <c r="C110" i="1" s="1"/>
  <c r="E106" i="1"/>
  <c r="I106" i="1"/>
  <c r="J106" i="1"/>
  <c r="K106" i="1"/>
  <c r="N108" i="1"/>
  <c r="N30" i="1" s="1"/>
  <c r="C107" i="1"/>
  <c r="E104" i="1"/>
  <c r="J104" i="1"/>
  <c r="K104" i="1"/>
  <c r="E101" i="1"/>
  <c r="J101" i="1"/>
  <c r="K101" i="1"/>
  <c r="E98" i="1"/>
  <c r="I98" i="1"/>
  <c r="J98" i="1"/>
  <c r="K98" i="1"/>
  <c r="N103" i="1"/>
  <c r="C103" i="1"/>
  <c r="N100" i="1"/>
  <c r="C100" i="1"/>
  <c r="E96" i="1"/>
  <c r="H96" i="1"/>
  <c r="J96" i="1"/>
  <c r="K96" i="1"/>
  <c r="N97" i="1"/>
  <c r="N96" i="1" s="1"/>
  <c r="I97" i="1"/>
  <c r="I96" i="1" s="1"/>
  <c r="J114" i="1"/>
  <c r="F114" i="1"/>
  <c r="J111" i="1"/>
  <c r="H109" i="1"/>
  <c r="D109" i="1"/>
  <c r="D108" i="1"/>
  <c r="H107" i="1"/>
  <c r="G107" i="1"/>
  <c r="G29" i="1" s="1"/>
  <c r="I105" i="1"/>
  <c r="I104" i="1" s="1"/>
  <c r="H105" i="1"/>
  <c r="D105" i="1"/>
  <c r="I103" i="1"/>
  <c r="G103" i="1"/>
  <c r="M103" i="1" s="1"/>
  <c r="I102" i="1"/>
  <c r="H102" i="1"/>
  <c r="H101" i="1" s="1"/>
  <c r="D102" i="1"/>
  <c r="G102" i="1" s="1"/>
  <c r="G100" i="1"/>
  <c r="H99" i="1"/>
  <c r="D99" i="1"/>
  <c r="D97" i="1"/>
  <c r="C94" i="4"/>
  <c r="D91" i="4"/>
  <c r="E91" i="4"/>
  <c r="C92" i="4"/>
  <c r="C90" i="4"/>
  <c r="C89" i="4"/>
  <c r="G89" i="4" s="1"/>
  <c r="C88" i="4"/>
  <c r="C87" i="4"/>
  <c r="D83" i="4"/>
  <c r="E83" i="4"/>
  <c r="C84" i="4"/>
  <c r="D80" i="4"/>
  <c r="E80" i="4"/>
  <c r="C82" i="4"/>
  <c r="G82" i="4" s="1"/>
  <c r="C81" i="4"/>
  <c r="G81" i="4" s="1"/>
  <c r="G80" i="4" l="1"/>
  <c r="C98" i="4"/>
  <c r="C97" i="4" s="1"/>
  <c r="C26" i="4"/>
  <c r="C83" i="4"/>
  <c r="C28" i="4"/>
  <c r="C85" i="4"/>
  <c r="C22" i="4"/>
  <c r="D104" i="1"/>
  <c r="D27" i="1"/>
  <c r="D26" i="1" s="1"/>
  <c r="G109" i="1"/>
  <c r="G31" i="1" s="1"/>
  <c r="D31" i="1"/>
  <c r="N109" i="1"/>
  <c r="H31" i="1"/>
  <c r="H104" i="1"/>
  <c r="H27" i="1"/>
  <c r="H26" i="1" s="1"/>
  <c r="N107" i="1"/>
  <c r="H29" i="1"/>
  <c r="C108" i="1"/>
  <c r="C30" i="1" s="1"/>
  <c r="D30" i="1"/>
  <c r="L34" i="1"/>
  <c r="N99" i="1"/>
  <c r="N98" i="1" s="1"/>
  <c r="H22" i="1"/>
  <c r="H20" i="1" s="1"/>
  <c r="F100" i="1"/>
  <c r="F88" i="4" s="1"/>
  <c r="G88" i="4" s="1"/>
  <c r="G23" i="1"/>
  <c r="G99" i="1"/>
  <c r="G22" i="1" s="1"/>
  <c r="D22" i="1"/>
  <c r="D20" i="1" s="1"/>
  <c r="D96" i="1"/>
  <c r="D16" i="1"/>
  <c r="D15" i="1" s="1"/>
  <c r="M114" i="1"/>
  <c r="L114" i="1" s="1"/>
  <c r="J24" i="1"/>
  <c r="J110" i="1"/>
  <c r="J95" i="1" s="1"/>
  <c r="J94" i="1" s="1"/>
  <c r="J17" i="1"/>
  <c r="J15" i="1" s="1"/>
  <c r="F107" i="1"/>
  <c r="F94" i="4" s="1"/>
  <c r="G94" i="4" s="1"/>
  <c r="I101" i="1"/>
  <c r="L113" i="1"/>
  <c r="L112" i="1" s="1"/>
  <c r="L103" i="1"/>
  <c r="D98" i="1"/>
  <c r="C109" i="1"/>
  <c r="E79" i="4"/>
  <c r="E78" i="4" s="1"/>
  <c r="C91" i="4"/>
  <c r="C25" i="4"/>
  <c r="C80" i="4"/>
  <c r="N102" i="1"/>
  <c r="N101" i="1" s="1"/>
  <c r="G105" i="1"/>
  <c r="C99" i="1"/>
  <c r="C98" i="1" s="1"/>
  <c r="H106" i="1"/>
  <c r="F103" i="1"/>
  <c r="F102" i="1"/>
  <c r="M102" i="1"/>
  <c r="G101" i="1"/>
  <c r="M107" i="1"/>
  <c r="D106" i="1"/>
  <c r="E95" i="1"/>
  <c r="E94" i="1" s="1"/>
  <c r="I114" i="1"/>
  <c r="M100" i="1"/>
  <c r="L100" i="1" s="1"/>
  <c r="C105" i="1"/>
  <c r="C104" i="1" s="1"/>
  <c r="K95" i="1"/>
  <c r="K94" i="1" s="1"/>
  <c r="C102" i="1"/>
  <c r="C101" i="1" s="1"/>
  <c r="H98" i="1"/>
  <c r="M112" i="1"/>
  <c r="I111" i="1"/>
  <c r="I110" i="1" s="1"/>
  <c r="N105" i="1"/>
  <c r="N104" i="1" s="1"/>
  <c r="M111" i="1"/>
  <c r="C97" i="1"/>
  <c r="C96" i="1" s="1"/>
  <c r="D101" i="1"/>
  <c r="G108" i="1"/>
  <c r="G30" i="1" s="1"/>
  <c r="G97" i="1"/>
  <c r="G16" i="1" s="1"/>
  <c r="G15" i="1" s="1"/>
  <c r="G20" i="1" l="1"/>
  <c r="L107" i="1"/>
  <c r="G28" i="1"/>
  <c r="M109" i="1"/>
  <c r="L109" i="1" s="1"/>
  <c r="F109" i="1"/>
  <c r="F96" i="4" s="1"/>
  <c r="G96" i="4" s="1"/>
  <c r="N106" i="1"/>
  <c r="D28" i="1"/>
  <c r="H28" i="1"/>
  <c r="C106" i="1"/>
  <c r="C95" i="1" s="1"/>
  <c r="C94" i="1" s="1"/>
  <c r="G104" i="1"/>
  <c r="G27" i="1"/>
  <c r="G26" i="1" s="1"/>
  <c r="G98" i="1"/>
  <c r="F99" i="1"/>
  <c r="M99" i="1"/>
  <c r="L99" i="1" s="1"/>
  <c r="L98" i="1" s="1"/>
  <c r="F101" i="1"/>
  <c r="F90" i="4" s="1"/>
  <c r="G90" i="4" s="1"/>
  <c r="M105" i="1"/>
  <c r="L105" i="1" s="1"/>
  <c r="L104" i="1" s="1"/>
  <c r="F105" i="1"/>
  <c r="N95" i="1"/>
  <c r="N94" i="1" s="1"/>
  <c r="L102" i="1"/>
  <c r="L101" i="1" s="1"/>
  <c r="D95" i="1"/>
  <c r="D94" i="1" s="1"/>
  <c r="H95" i="1"/>
  <c r="H94" i="1" s="1"/>
  <c r="M101" i="1"/>
  <c r="I95" i="1"/>
  <c r="I94" i="1" s="1"/>
  <c r="G96" i="1"/>
  <c r="F97" i="1"/>
  <c r="G106" i="1"/>
  <c r="F108" i="1"/>
  <c r="F95" i="4" s="1"/>
  <c r="M108" i="1"/>
  <c r="M30" i="1" s="1"/>
  <c r="M97" i="1"/>
  <c r="L111" i="1"/>
  <c r="L110" i="1" s="1"/>
  <c r="M110" i="1"/>
  <c r="F93" i="4" l="1"/>
  <c r="F96" i="1"/>
  <c r="F84" i="4"/>
  <c r="F98" i="1"/>
  <c r="F87" i="4"/>
  <c r="M98" i="1"/>
  <c r="F104" i="1"/>
  <c r="F92" i="4"/>
  <c r="F106" i="1"/>
  <c r="F30" i="1"/>
  <c r="F29" i="4" s="1"/>
  <c r="M104" i="1"/>
  <c r="G95" i="1"/>
  <c r="G94" i="1" s="1"/>
  <c r="M96" i="1"/>
  <c r="L97" i="1"/>
  <c r="L96" i="1" s="1"/>
  <c r="L108" i="1"/>
  <c r="M106" i="1"/>
  <c r="F95" i="1" l="1"/>
  <c r="F94" i="1" s="1"/>
  <c r="F83" i="4"/>
  <c r="G84" i="4"/>
  <c r="G83" i="4" s="1"/>
  <c r="F91" i="4"/>
  <c r="G92" i="4"/>
  <c r="G91" i="4" s="1"/>
  <c r="F85" i="4"/>
  <c r="G87" i="4"/>
  <c r="G85" i="4" s="1"/>
  <c r="L106" i="1"/>
  <c r="L95" i="1" s="1"/>
  <c r="L94" i="1" s="1"/>
  <c r="L30" i="1"/>
  <c r="M95" i="1"/>
  <c r="M94" i="1" s="1"/>
  <c r="D95" i="4"/>
  <c r="D93" i="4" s="1"/>
  <c r="H80" i="4"/>
  <c r="F79" i="4" l="1"/>
  <c r="F78" i="4" s="1"/>
  <c r="C95" i="4"/>
  <c r="G95" i="4" s="1"/>
  <c r="G93" i="4" s="1"/>
  <c r="G79" i="4" s="1"/>
  <c r="G78" i="4" s="1"/>
  <c r="D79" i="4"/>
  <c r="D78" i="4" s="1"/>
  <c r="D76" i="4"/>
  <c r="C77" i="4"/>
  <c r="D74" i="4"/>
  <c r="C75" i="4"/>
  <c r="E70" i="4"/>
  <c r="C68" i="4"/>
  <c r="C66" i="4"/>
  <c r="D72" i="4"/>
  <c r="D30" i="4" s="1"/>
  <c r="D71" i="4"/>
  <c r="D29" i="4" s="1"/>
  <c r="D69" i="4"/>
  <c r="D24" i="4" s="1"/>
  <c r="E67" i="4"/>
  <c r="E21" i="4" s="1"/>
  <c r="D67" i="4"/>
  <c r="D21" i="4" s="1"/>
  <c r="B67" i="4"/>
  <c r="B66" i="4"/>
  <c r="E65" i="4"/>
  <c r="E19" i="4" s="1"/>
  <c r="B65" i="4"/>
  <c r="E63" i="4"/>
  <c r="E16" i="4" s="1"/>
  <c r="D63" i="4"/>
  <c r="D16" i="4" s="1"/>
  <c r="B63" i="4"/>
  <c r="E61" i="4"/>
  <c r="E14" i="4" s="1"/>
  <c r="D61" i="4"/>
  <c r="D14" i="4" s="1"/>
  <c r="E60" i="4"/>
  <c r="E13" i="4" s="1"/>
  <c r="D60" i="4"/>
  <c r="D13" i="4" s="1"/>
  <c r="D64" i="4" l="1"/>
  <c r="C76" i="4"/>
  <c r="G77" i="4"/>
  <c r="G76" i="4" s="1"/>
  <c r="G66" i="4"/>
  <c r="C20" i="4"/>
  <c r="G20" i="4" s="1"/>
  <c r="C23" i="4"/>
  <c r="G23" i="4" s="1"/>
  <c r="G68" i="4"/>
  <c r="C74" i="4"/>
  <c r="C73" i="4" s="1"/>
  <c r="G75" i="4"/>
  <c r="G74" i="4" s="1"/>
  <c r="D15" i="4"/>
  <c r="E15" i="4"/>
  <c r="C93" i="4"/>
  <c r="C79" i="4" s="1"/>
  <c r="C78" i="4" s="1"/>
  <c r="C71" i="4"/>
  <c r="C72" i="4"/>
  <c r="L33" i="4"/>
  <c r="D12" i="4"/>
  <c r="C65" i="4"/>
  <c r="E59" i="4"/>
  <c r="E12" i="4"/>
  <c r="C61" i="4"/>
  <c r="D18" i="4"/>
  <c r="C69" i="4"/>
  <c r="D62" i="4"/>
  <c r="E62" i="4"/>
  <c r="L32" i="4"/>
  <c r="D70" i="4"/>
  <c r="C67" i="4"/>
  <c r="G67" i="4" s="1"/>
  <c r="C60" i="4"/>
  <c r="G60" i="4" s="1"/>
  <c r="D59" i="4"/>
  <c r="D73" i="4"/>
  <c r="C63" i="4"/>
  <c r="E64" i="4"/>
  <c r="D55" i="4"/>
  <c r="E55" i="4"/>
  <c r="C56" i="4"/>
  <c r="D53" i="4"/>
  <c r="E53" i="4"/>
  <c r="C54" i="4"/>
  <c r="D50" i="4"/>
  <c r="E50" i="4"/>
  <c r="C51" i="4"/>
  <c r="G51" i="4" s="1"/>
  <c r="G50" i="4" s="1"/>
  <c r="D48" i="4"/>
  <c r="E48" i="4"/>
  <c r="C49" i="4"/>
  <c r="G73" i="4" l="1"/>
  <c r="C24" i="4"/>
  <c r="G69" i="4"/>
  <c r="C29" i="4"/>
  <c r="G29" i="4" s="1"/>
  <c r="G71" i="4"/>
  <c r="C14" i="4"/>
  <c r="G61" i="4"/>
  <c r="G59" i="4" s="1"/>
  <c r="C19" i="4"/>
  <c r="G19" i="4" s="1"/>
  <c r="G65" i="4"/>
  <c r="G64" i="4" s="1"/>
  <c r="C55" i="4"/>
  <c r="G56" i="4"/>
  <c r="G55" i="4" s="1"/>
  <c r="C13" i="4"/>
  <c r="G49" i="4"/>
  <c r="G48" i="4" s="1"/>
  <c r="G47" i="4" s="1"/>
  <c r="C16" i="4"/>
  <c r="G63" i="4"/>
  <c r="G62" i="4" s="1"/>
  <c r="C30" i="4"/>
  <c r="G72" i="4"/>
  <c r="C21" i="4"/>
  <c r="C62" i="4"/>
  <c r="C50" i="4"/>
  <c r="C64" i="4"/>
  <c r="D27" i="4"/>
  <c r="D11" i="4" s="1"/>
  <c r="C59" i="4"/>
  <c r="E18" i="4"/>
  <c r="E11" i="4" s="1"/>
  <c r="C70" i="4"/>
  <c r="E58" i="4"/>
  <c r="E57" i="4" s="1"/>
  <c r="C48" i="4"/>
  <c r="C53" i="4"/>
  <c r="C17" i="4"/>
  <c r="D58" i="4"/>
  <c r="D57" i="4" s="1"/>
  <c r="E47" i="4"/>
  <c r="D47" i="4"/>
  <c r="D52" i="4"/>
  <c r="E52" i="4"/>
  <c r="G70" i="4" l="1"/>
  <c r="C52" i="4"/>
  <c r="C12" i="4"/>
  <c r="C47" i="4"/>
  <c r="C46" i="4" s="1"/>
  <c r="C27" i="4"/>
  <c r="G58" i="4"/>
  <c r="G57" i="4" s="1"/>
  <c r="C58" i="4"/>
  <c r="C57" i="4" s="1"/>
  <c r="E46" i="4"/>
  <c r="D46" i="4"/>
  <c r="C15" i="4"/>
  <c r="C18" i="4"/>
  <c r="C31" i="4" l="1"/>
  <c r="C11" i="4"/>
  <c r="C10" i="4"/>
  <c r="E32" i="4"/>
  <c r="D32" i="4"/>
  <c r="E10" i="4" l="1"/>
  <c r="E31" i="4"/>
  <c r="D10" i="4"/>
  <c r="D31" i="4"/>
  <c r="D82" i="1"/>
  <c r="E82" i="1"/>
  <c r="C82" i="1"/>
  <c r="N82" i="1"/>
  <c r="G82" i="1"/>
  <c r="H82" i="1"/>
  <c r="F82" i="1"/>
  <c r="I82" i="1"/>
  <c r="J82" i="1"/>
  <c r="K82" i="1"/>
  <c r="M82" i="1" l="1"/>
  <c r="L82" i="1"/>
  <c r="D72" i="1" l="1"/>
  <c r="D71" i="1" s="1"/>
  <c r="D70" i="1" s="1"/>
  <c r="E72" i="1"/>
  <c r="E71" i="1" s="1"/>
  <c r="E70" i="1" s="1"/>
  <c r="G72" i="1"/>
  <c r="G71" i="1" s="1"/>
  <c r="G70" i="1" s="1"/>
  <c r="H72" i="1"/>
  <c r="H71" i="1" s="1"/>
  <c r="H70" i="1" s="1"/>
  <c r="J72" i="1"/>
  <c r="J71" i="1" s="1"/>
  <c r="J70" i="1" s="1"/>
  <c r="K72" i="1"/>
  <c r="K71" i="1" s="1"/>
  <c r="K70" i="1" s="1"/>
  <c r="M72" i="1"/>
  <c r="M71" i="1" s="1"/>
  <c r="M70" i="1" s="1"/>
  <c r="I72" i="1"/>
  <c r="I71" i="1" s="1"/>
  <c r="I70" i="1" s="1"/>
  <c r="F72" i="1" l="1"/>
  <c r="F71" i="1" s="1"/>
  <c r="F70" i="1" s="1"/>
  <c r="N72" i="1"/>
  <c r="N71" i="1" s="1"/>
  <c r="N70" i="1" s="1"/>
  <c r="L72" i="1"/>
  <c r="L71" i="1" s="1"/>
  <c r="L70" i="1" s="1"/>
  <c r="D51" i="1"/>
  <c r="E51" i="1"/>
  <c r="G51" i="1"/>
  <c r="H51" i="1"/>
  <c r="J51" i="1"/>
  <c r="K51" i="1"/>
  <c r="D67" i="1"/>
  <c r="E67" i="1"/>
  <c r="G67" i="1"/>
  <c r="H67" i="1"/>
  <c r="J67" i="1"/>
  <c r="K67" i="1"/>
  <c r="D64" i="1"/>
  <c r="E64" i="1"/>
  <c r="G64" i="1"/>
  <c r="H64" i="1"/>
  <c r="J64" i="1"/>
  <c r="K64" i="1"/>
  <c r="D62" i="1"/>
  <c r="E62" i="1"/>
  <c r="G62" i="1"/>
  <c r="H62" i="1"/>
  <c r="J62" i="1"/>
  <c r="K62" i="1"/>
  <c r="D59" i="1"/>
  <c r="D25" i="1" s="1"/>
  <c r="D11" i="1" s="1"/>
  <c r="E59" i="1"/>
  <c r="E25" i="1" s="1"/>
  <c r="E11" i="1" s="1"/>
  <c r="G59" i="1"/>
  <c r="G25" i="1" s="1"/>
  <c r="G11" i="1" s="1"/>
  <c r="H59" i="1"/>
  <c r="H25" i="1" s="1"/>
  <c r="H11" i="1" s="1"/>
  <c r="J59" i="1"/>
  <c r="J25" i="1" s="1"/>
  <c r="J11" i="1" s="1"/>
  <c r="K59" i="1"/>
  <c r="K25" i="1" s="1"/>
  <c r="K11" i="1" s="1"/>
  <c r="D56" i="1"/>
  <c r="E56" i="1"/>
  <c r="G56" i="1"/>
  <c r="H56" i="1"/>
  <c r="J56" i="1"/>
  <c r="K56" i="1"/>
  <c r="D54" i="1"/>
  <c r="E54" i="1"/>
  <c r="G54" i="1"/>
  <c r="H54" i="1"/>
  <c r="J54" i="1"/>
  <c r="K54" i="1"/>
  <c r="M52" i="1"/>
  <c r="M13" i="1" s="1"/>
  <c r="N52" i="1"/>
  <c r="N13" i="1" s="1"/>
  <c r="M55" i="1"/>
  <c r="N55" i="1"/>
  <c r="M68" i="1"/>
  <c r="M19" i="1" s="1"/>
  <c r="N68" i="1"/>
  <c r="N19" i="1" s="1"/>
  <c r="M57" i="1"/>
  <c r="M22" i="1" s="1"/>
  <c r="N57" i="1"/>
  <c r="N22" i="1" s="1"/>
  <c r="M58" i="1"/>
  <c r="M23" i="1" s="1"/>
  <c r="N58" i="1"/>
  <c r="N23" i="1" s="1"/>
  <c r="M69" i="1"/>
  <c r="M24" i="1" s="1"/>
  <c r="N69" i="1"/>
  <c r="N24" i="1" s="1"/>
  <c r="M60" i="1"/>
  <c r="N60" i="1"/>
  <c r="M61" i="1"/>
  <c r="N61" i="1"/>
  <c r="M63" i="1"/>
  <c r="M62" i="1" s="1"/>
  <c r="N63" i="1"/>
  <c r="N62" i="1" s="1"/>
  <c r="M65" i="1"/>
  <c r="M29" i="1" s="1"/>
  <c r="N65" i="1"/>
  <c r="N29" i="1" s="1"/>
  <c r="M66" i="1"/>
  <c r="M31" i="1" s="1"/>
  <c r="N66" i="1"/>
  <c r="N31" i="1" s="1"/>
  <c r="N53" i="1"/>
  <c r="N14" i="1" s="1"/>
  <c r="M53" i="1"/>
  <c r="M14" i="1" s="1"/>
  <c r="I52" i="1"/>
  <c r="I13" i="1" s="1"/>
  <c r="I55" i="1"/>
  <c r="I68" i="1"/>
  <c r="I19" i="1" s="1"/>
  <c r="I57" i="1"/>
  <c r="I22" i="1" s="1"/>
  <c r="I58" i="1"/>
  <c r="I23" i="1" s="1"/>
  <c r="I69" i="1"/>
  <c r="I24" i="1" s="1"/>
  <c r="I60" i="1"/>
  <c r="I61" i="1"/>
  <c r="I63" i="1"/>
  <c r="I62" i="1" s="1"/>
  <c r="I65" i="1"/>
  <c r="I29" i="1" s="1"/>
  <c r="I66" i="1"/>
  <c r="I31" i="1" s="1"/>
  <c r="I53" i="1"/>
  <c r="I14" i="1" s="1"/>
  <c r="F52" i="1"/>
  <c r="F55" i="1"/>
  <c r="F103" i="4" s="1"/>
  <c r="F68" i="1"/>
  <c r="F19" i="1" s="1"/>
  <c r="F57" i="1"/>
  <c r="F58" i="1"/>
  <c r="F69" i="1"/>
  <c r="F24" i="1" s="1"/>
  <c r="F60" i="1"/>
  <c r="F61" i="1"/>
  <c r="F63" i="1"/>
  <c r="F65" i="1"/>
  <c r="F66" i="1"/>
  <c r="F53" i="1"/>
  <c r="C52" i="1"/>
  <c r="C13" i="1" s="1"/>
  <c r="C55" i="1"/>
  <c r="C68" i="1"/>
  <c r="C57" i="1"/>
  <c r="C22" i="1" s="1"/>
  <c r="C58" i="1"/>
  <c r="C23" i="1" s="1"/>
  <c r="C69" i="1"/>
  <c r="C24" i="1" s="1"/>
  <c r="C60" i="1"/>
  <c r="C61" i="1"/>
  <c r="C63" i="1"/>
  <c r="C62" i="1" s="1"/>
  <c r="C65" i="1"/>
  <c r="C29" i="1" s="1"/>
  <c r="C66" i="1"/>
  <c r="C31" i="1" s="1"/>
  <c r="C53" i="1"/>
  <c r="C14" i="1" s="1"/>
  <c r="C12" i="1" l="1"/>
  <c r="N12" i="1"/>
  <c r="I12" i="1"/>
  <c r="F102" i="4"/>
  <c r="G103" i="4"/>
  <c r="G102" i="4" s="1"/>
  <c r="F29" i="1"/>
  <c r="F28" i="4" s="1"/>
  <c r="F111" i="4"/>
  <c r="F13" i="1"/>
  <c r="F13" i="4" s="1"/>
  <c r="F101" i="4"/>
  <c r="G101" i="4" s="1"/>
  <c r="N28" i="1"/>
  <c r="F31" i="1"/>
  <c r="F30" i="4" s="1"/>
  <c r="G30" i="4" s="1"/>
  <c r="F112" i="4"/>
  <c r="G112" i="4" s="1"/>
  <c r="M28" i="1"/>
  <c r="F14" i="1"/>
  <c r="F14" i="4" s="1"/>
  <c r="G14" i="4" s="1"/>
  <c r="F100" i="4"/>
  <c r="F62" i="1"/>
  <c r="F109" i="4"/>
  <c r="F23" i="1"/>
  <c r="F22" i="4" s="1"/>
  <c r="G22" i="4" s="1"/>
  <c r="F106" i="4"/>
  <c r="G106" i="4" s="1"/>
  <c r="C20" i="1"/>
  <c r="F22" i="1"/>
  <c r="F21" i="4" s="1"/>
  <c r="F105" i="4"/>
  <c r="I20" i="1"/>
  <c r="M12" i="1"/>
  <c r="N20" i="1"/>
  <c r="C28" i="1"/>
  <c r="M20" i="1"/>
  <c r="I28" i="1"/>
  <c r="C67" i="1"/>
  <c r="C19" i="1"/>
  <c r="C18" i="1" s="1"/>
  <c r="I54" i="1"/>
  <c r="I16" i="1"/>
  <c r="C54" i="1"/>
  <c r="C16" i="1"/>
  <c r="I67" i="1"/>
  <c r="I18" i="1"/>
  <c r="M54" i="1"/>
  <c r="M16" i="1"/>
  <c r="F67" i="1"/>
  <c r="F18" i="1"/>
  <c r="F54" i="1"/>
  <c r="F16" i="1"/>
  <c r="F16" i="4" s="1"/>
  <c r="N67" i="1"/>
  <c r="N18" i="1"/>
  <c r="M67" i="1"/>
  <c r="M18" i="1"/>
  <c r="N54" i="1"/>
  <c r="N16" i="1"/>
  <c r="C51" i="1"/>
  <c r="F51" i="1"/>
  <c r="I59" i="1"/>
  <c r="I25" i="1" s="1"/>
  <c r="L57" i="1"/>
  <c r="L22" i="1" s="1"/>
  <c r="N56" i="1"/>
  <c r="D50" i="1"/>
  <c r="D49" i="1" s="1"/>
  <c r="F64" i="1"/>
  <c r="N59" i="1"/>
  <c r="N25" i="1" s="1"/>
  <c r="H50" i="1"/>
  <c r="H49" i="1" s="1"/>
  <c r="F59" i="1"/>
  <c r="C64" i="1"/>
  <c r="N51" i="1"/>
  <c r="I51" i="1"/>
  <c r="M51" i="1"/>
  <c r="N64" i="1"/>
  <c r="K50" i="1"/>
  <c r="K49" i="1" s="1"/>
  <c r="G50" i="1"/>
  <c r="G49" i="1" s="1"/>
  <c r="C59" i="1"/>
  <c r="C25" i="1" s="1"/>
  <c r="E50" i="1"/>
  <c r="E49" i="1" s="1"/>
  <c r="C56" i="1"/>
  <c r="I56" i="1"/>
  <c r="M64" i="1"/>
  <c r="I64" i="1"/>
  <c r="F56" i="1"/>
  <c r="J50" i="1"/>
  <c r="J49" i="1" s="1"/>
  <c r="M59" i="1"/>
  <c r="M25" i="1" s="1"/>
  <c r="M56" i="1"/>
  <c r="L66" i="1"/>
  <c r="L31" i="1" s="1"/>
  <c r="L53" i="1"/>
  <c r="L14" i="1" s="1"/>
  <c r="L55" i="1"/>
  <c r="L69" i="1"/>
  <c r="L24" i="1" s="1"/>
  <c r="L65" i="1"/>
  <c r="L29" i="1" s="1"/>
  <c r="L68" i="1"/>
  <c r="L19" i="1" s="1"/>
  <c r="L61" i="1"/>
  <c r="L58" i="1"/>
  <c r="L23" i="1" s="1"/>
  <c r="L60" i="1"/>
  <c r="L63" i="1"/>
  <c r="L62" i="1" s="1"/>
  <c r="L52" i="1"/>
  <c r="L13" i="1" s="1"/>
  <c r="L28" i="1" l="1"/>
  <c r="F104" i="4"/>
  <c r="G105" i="4"/>
  <c r="G104" i="4" s="1"/>
  <c r="G21" i="4"/>
  <c r="G18" i="4" s="1"/>
  <c r="F18" i="4"/>
  <c r="F12" i="4"/>
  <c r="G13" i="4"/>
  <c r="G12" i="4" s="1"/>
  <c r="F25" i="1"/>
  <c r="F24" i="4" s="1"/>
  <c r="G24" i="4" s="1"/>
  <c r="F107" i="4"/>
  <c r="G107" i="4" s="1"/>
  <c r="F12" i="1"/>
  <c r="F110" i="4"/>
  <c r="G111" i="4"/>
  <c r="G110" i="4" s="1"/>
  <c r="F20" i="1"/>
  <c r="F27" i="4"/>
  <c r="G28" i="4"/>
  <c r="G27" i="4" s="1"/>
  <c r="G16" i="4"/>
  <c r="F28" i="1"/>
  <c r="F108" i="4"/>
  <c r="G109" i="4"/>
  <c r="G108" i="4" s="1"/>
  <c r="F99" i="4"/>
  <c r="G100" i="4"/>
  <c r="G99" i="4" s="1"/>
  <c r="L12" i="1"/>
  <c r="L20" i="1"/>
  <c r="L54" i="1"/>
  <c r="L16" i="1"/>
  <c r="L67" i="1"/>
  <c r="L18" i="1"/>
  <c r="L59" i="1"/>
  <c r="L25" i="1" s="1"/>
  <c r="C50" i="1"/>
  <c r="C49" i="1" s="1"/>
  <c r="L56" i="1"/>
  <c r="N50" i="1"/>
  <c r="N49" i="1" s="1"/>
  <c r="F50" i="1"/>
  <c r="F49" i="1" s="1"/>
  <c r="L51" i="1"/>
  <c r="I50" i="1"/>
  <c r="I49" i="1" s="1"/>
  <c r="M50" i="1"/>
  <c r="M49" i="1" s="1"/>
  <c r="L64" i="1"/>
  <c r="N48" i="1"/>
  <c r="N27" i="1" s="1"/>
  <c r="N26" i="1" s="1"/>
  <c r="M48" i="1"/>
  <c r="M27" i="1" s="1"/>
  <c r="M26" i="1" s="1"/>
  <c r="I48" i="1"/>
  <c r="I27" i="1" s="1"/>
  <c r="I26" i="1" s="1"/>
  <c r="N46" i="1"/>
  <c r="M46" i="1"/>
  <c r="I46" i="1"/>
  <c r="F48" i="1"/>
  <c r="F27" i="1" s="1"/>
  <c r="F46" i="1"/>
  <c r="F54" i="4" s="1"/>
  <c r="C48" i="1"/>
  <c r="C27" i="1" s="1"/>
  <c r="C26" i="1" s="1"/>
  <c r="C46" i="1"/>
  <c r="D47" i="1"/>
  <c r="E47" i="1"/>
  <c r="G47" i="1"/>
  <c r="H47" i="1"/>
  <c r="J47" i="1"/>
  <c r="K47" i="1"/>
  <c r="D45" i="1"/>
  <c r="E45" i="1"/>
  <c r="G45" i="1"/>
  <c r="H45" i="1"/>
  <c r="J45" i="1"/>
  <c r="K45" i="1"/>
  <c r="F53" i="4" l="1"/>
  <c r="F52" i="4" s="1"/>
  <c r="F46" i="4" s="1"/>
  <c r="G54" i="4"/>
  <c r="G53" i="4" s="1"/>
  <c r="G52" i="4" s="1"/>
  <c r="G46" i="4" s="1"/>
  <c r="G98" i="4"/>
  <c r="G97" i="4" s="1"/>
  <c r="F98" i="4"/>
  <c r="F97" i="4" s="1"/>
  <c r="F26" i="1"/>
  <c r="F26" i="4"/>
  <c r="C45" i="1"/>
  <c r="C44" i="1" s="1"/>
  <c r="C43" i="1" s="1"/>
  <c r="C17" i="1"/>
  <c r="C15" i="1" s="1"/>
  <c r="C11" i="1" s="1"/>
  <c r="C47" i="1"/>
  <c r="I45" i="1"/>
  <c r="I17" i="1"/>
  <c r="I15" i="1" s="1"/>
  <c r="I11" i="1" s="1"/>
  <c r="F45" i="1"/>
  <c r="F17" i="1"/>
  <c r="N47" i="1"/>
  <c r="F47" i="1"/>
  <c r="M45" i="1"/>
  <c r="M17" i="1"/>
  <c r="M15" i="1" s="1"/>
  <c r="M11" i="1" s="1"/>
  <c r="N45" i="1"/>
  <c r="N17" i="1"/>
  <c r="N15" i="1" s="1"/>
  <c r="N11" i="1" s="1"/>
  <c r="I47" i="1"/>
  <c r="L50" i="1"/>
  <c r="L49" i="1" s="1"/>
  <c r="L48" i="1"/>
  <c r="L27" i="1" s="1"/>
  <c r="L26" i="1" s="1"/>
  <c r="J44" i="1"/>
  <c r="J43" i="1" s="1"/>
  <c r="E44" i="1"/>
  <c r="E43" i="1" s="1"/>
  <c r="K44" i="1"/>
  <c r="K43" i="1" s="1"/>
  <c r="M47" i="1"/>
  <c r="L46" i="1"/>
  <c r="D44" i="1"/>
  <c r="D43" i="1" s="1"/>
  <c r="H44" i="1"/>
  <c r="H43" i="1" s="1"/>
  <c r="G44" i="1"/>
  <c r="G43" i="1" s="1"/>
  <c r="N44" i="1" l="1"/>
  <c r="N43" i="1" s="1"/>
  <c r="G26" i="4"/>
  <c r="G25" i="4" s="1"/>
  <c r="F25" i="4"/>
  <c r="F44" i="1"/>
  <c r="F43" i="1" s="1"/>
  <c r="G10" i="4"/>
  <c r="G31" i="4"/>
  <c r="F15" i="1"/>
  <c r="F11" i="1" s="1"/>
  <c r="F17" i="4"/>
  <c r="I44" i="1"/>
  <c r="I43" i="1" s="1"/>
  <c r="F10" i="4"/>
  <c r="F31" i="4"/>
  <c r="L47" i="1"/>
  <c r="L45" i="1"/>
  <c r="L17" i="1"/>
  <c r="L15" i="1" s="1"/>
  <c r="L11" i="1" s="1"/>
  <c r="M44" i="1"/>
  <c r="M43" i="1" s="1"/>
  <c r="H33" i="1"/>
  <c r="H10" i="1" s="1"/>
  <c r="M33" i="1"/>
  <c r="J33" i="1"/>
  <c r="J10" i="1" s="1"/>
  <c r="I33" i="1"/>
  <c r="F33" i="1"/>
  <c r="F10" i="1" s="1"/>
  <c r="K33" i="1"/>
  <c r="K10" i="1" s="1"/>
  <c r="N33" i="1"/>
  <c r="N10" i="1" s="1"/>
  <c r="G33" i="1"/>
  <c r="G10" i="1" s="1"/>
  <c r="L44" i="1" l="1"/>
  <c r="L43" i="1" s="1"/>
  <c r="M10" i="1"/>
  <c r="G17" i="4"/>
  <c r="G15" i="4" s="1"/>
  <c r="G11" i="4" s="1"/>
  <c r="F15" i="4"/>
  <c r="F11" i="4" s="1"/>
  <c r="I10" i="1"/>
  <c r="L33" i="1"/>
  <c r="L10" i="1" s="1"/>
  <c r="D33" i="1"/>
  <c r="D10" i="1" s="1"/>
  <c r="E33" i="1"/>
  <c r="E10" i="1" s="1"/>
  <c r="C33" i="1"/>
  <c r="C10" i="1" s="1"/>
</calcChain>
</file>

<file path=xl/sharedStrings.xml><?xml version="1.0" encoding="utf-8"?>
<sst xmlns="http://schemas.openxmlformats.org/spreadsheetml/2006/main" count="2706" uniqueCount="1092">
  <si>
    <t>BIỂU ĐỀ XUẤT ĐIỀU CHỈNH NGUỒN KINH PHÍ SỰ NGHIỆP THỰC HIỆN CHƯƠNG TRÌNH MỤC TIÊU QUỐC GIA PHÁT TRIỂN KINH TẾ - XÃ HỘI VÙNG ĐỒNG BÀO DÂN TỘC THIỂU SỐ VÀ MIỀN NÚI</t>
  </si>
  <si>
    <t>STT</t>
  </si>
  <si>
    <t>Nguồn/Dự án thành phần</t>
  </si>
  <si>
    <t>Kinh phí đề xuất điều chỉnh</t>
  </si>
  <si>
    <t>Tăng</t>
  </si>
  <si>
    <t>Giảm</t>
  </si>
  <si>
    <t>Số kinh phí sự nghiệp được giao</t>
  </si>
  <si>
    <t>Số kinh phí sự nghiệp sau điều chỉnh</t>
  </si>
  <si>
    <t>A</t>
  </si>
  <si>
    <t>Nguồn kinh phí năm 2023 chuyển sang năm 2024</t>
  </si>
  <si>
    <t>Tổng số</t>
  </si>
  <si>
    <t>Trong đó</t>
  </si>
  <si>
    <t>3=4+5</t>
  </si>
  <si>
    <t>6=7+8=9</t>
  </si>
  <si>
    <t>7=10</t>
  </si>
  <si>
    <t>8=11</t>
  </si>
  <si>
    <t>9=10+11=6</t>
  </si>
  <si>
    <t>10=7</t>
  </si>
  <si>
    <t>11=8</t>
  </si>
  <si>
    <t>12=13+14=3-6+9</t>
  </si>
  <si>
    <t>B</t>
  </si>
  <si>
    <t>Nguồn kinh phí năm 2024</t>
  </si>
  <si>
    <t>Biểu số 01</t>
  </si>
  <si>
    <t>Đơn vị: Đồng</t>
  </si>
  <si>
    <t>Lĩnh vực chi tương ứng với từng dự án thành phần bị điều chỉnh tăng, giảm</t>
  </si>
  <si>
    <t>TỔNG SỐ</t>
  </si>
  <si>
    <t>13=4-7+10</t>
  </si>
  <si>
    <t>14=5-8+11</t>
  </si>
  <si>
    <t>I</t>
  </si>
  <si>
    <t>II</t>
  </si>
  <si>
    <t>HUYỆN CHỢ MỚI</t>
  </si>
  <si>
    <t>Dự án 3. Phát triển sản xuất nông, lâm nghiệp bền vững, phát huy tiềm năng, thế mạnh của các vùng miền để sản xuất hàng hóa theo chuỗi giá trị</t>
  </si>
  <si>
    <t>-</t>
  </si>
  <si>
    <t>Tiểu dự án 1: Phát triển kinh tế nông, lâm nghiệp bền vững gắn với bảo vệ rừng và nâng cao thu nhập cho người dân</t>
  </si>
  <si>
    <t>Sự nghiệp kinh tế</t>
  </si>
  <si>
    <t>Dự án 5. Phát triển giáo dục đào tạo nâng cao chất lượng nguồn nhân lực</t>
  </si>
  <si>
    <t>Tiểu dự án 3: Dự án phát triển giáo dục nghề nghiệp và giải quyết việc làm cho người lao động vùng dân tộc thiểu số và miền núi</t>
  </si>
  <si>
    <t>Sự nghiệp giáo dục, đào tạo và dạy nghề</t>
  </si>
  <si>
    <t>Dự án 4. Đầu tư cơ sở hạ tầng thiết yếu, phục vụ sản xuất, đời sống trong vùng đồng bào dân tộc thiểu số và miền núi và các đơn vị sự nghiệp công lập của lĩnh vực dân tộc</t>
  </si>
  <si>
    <t>Tiểu dự án 1: Đầu tư cơ sở hạ tầng thiết yếu, phục vụ sản xuất, đời sống trong vùng đồng bào dân tộc thiểu số và miền núi</t>
  </si>
  <si>
    <t>Sư nghiệp kinh tế</t>
  </si>
  <si>
    <t>Sự nghiệp văn hóa thông tin</t>
  </si>
  <si>
    <t>Sự nghiệp bảo đảm xã hội</t>
  </si>
  <si>
    <t>Nguồn kinh phí năm 2022, 2023 chuyển sang năm 2024</t>
  </si>
  <si>
    <t>Dự án 6: Bảo tồn, phát huy giá trị văn hóa truyền thống tốt đẹp của các dân tộc thiểu số gắn với phát triển du lịch</t>
  </si>
  <si>
    <t>Dự án 10: Truyền thông, tuyên truyền, vận động trong vùng đồng bào dân tộc thiểu số và miền núi. Kiểm tra, giám sát đánh giá việc tổ chức thực hiện Chương trình</t>
  </si>
  <si>
    <t>Tiểu dự án 3: Kiểm tra, giám sát, đánh giá, đào tạo, tập huấn tổ chức thực hiện Chương trình</t>
  </si>
  <si>
    <t>Dự án 8: Thực hiện bình đẳng giới và giải quyết những vấn đề cấp thiết đối với phụ nữ và trẻ em</t>
  </si>
  <si>
    <t>HUYỆN NGÂN SƠN</t>
  </si>
  <si>
    <t>THÀNH PHỐ BẮC KẠN</t>
  </si>
  <si>
    <t>Sự nghiệp đảm bảo xã hội</t>
  </si>
  <si>
    <t>Dự án 3: Phát triển sản xuất nông, lâm nghiệp bền vững, phát huy tiềm năng, thế mạnh của các vùng miền để sản xuất hàng hóa theo chuỗi giá trị</t>
  </si>
  <si>
    <t>Tiểu dự án 2: Hỗ trợ phát triển sản xuất theo chuỗi giá trị, vùng trồng dược liệu quý, thúc đẩy khởi sự kinh doanh, khởi nghiệp và thu hút đầu tư vùng đồng bào dân tộc thiểu số và miền núi</t>
  </si>
  <si>
    <t>Dự án 9: Đầu tư phát triển nhóm dân tộc thiểu số rất ít người và nhóm dân tộc còn nhiều khó khăn</t>
  </si>
  <si>
    <t>Tiểu dự án 2: Giảm thiểu tình trạng tảo hôn và hôn nhân cận huyết thống trong vùng đồng bào dân tộc thiểu số và miền núi</t>
  </si>
  <si>
    <t>C</t>
  </si>
  <si>
    <t>D</t>
  </si>
  <si>
    <t>HUYỆN CHỢ ĐỒN</t>
  </si>
  <si>
    <t>Dự án 1: Giải quyết tình trạng thiếu đất ở, nhà ở, đất sản xuất, nước sinh hoạt</t>
  </si>
  <si>
    <t>Nội dung số 4: Hỗ trợ nước sinh hoạt phân tán</t>
  </si>
  <si>
    <t>Nội dung số 3: Hỗ trợ chuyển đổi nghề</t>
  </si>
  <si>
    <t xml:space="preserve"> Dự án 3: Phát triển sản xuất nông, lâm nghiệp bền vững, phát huy tiềm năng, thế mạnh của các vùng miền để sản xuất hàng hóa theo chuỗi giá trị</t>
  </si>
  <si>
    <t xml:space="preserve">Tiểu dự án 1: Phát triển kinh tế nông, lâm nghiệp gắn với bảo vệ rừng và nâng cao thu nhập cho người dân </t>
  </si>
  <si>
    <t>Dự án 4: Đầu tư cơ sở hạ tầng thiết yếu, phục vụ sản xuất, đời sống trong vùng đồng bào dân tộc thiểu số và miền núi</t>
  </si>
  <si>
    <t>Dự án 5: Phát triển giáo dục đào tạo, nâng cao chất lượng nguồn nhân lực</t>
  </si>
  <si>
    <t>Dự án 10: Truyền thông, tuyên truyền, vận động trong vùng đồng bào DTTS và MN. Kiểm tra, giám sát đánh giá việc tổ chức thực hiện chương trình</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</si>
  <si>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dân tộc thiểu số và miền núi giai đoạn 2021-2030</t>
  </si>
  <si>
    <t>Sự nghiệp Đảm bảo xã hội</t>
  </si>
  <si>
    <t>Tiểu dự án 4: Đào tạo nâng cao năng lực cho cộng đồng và cán bộ triển khai Chương trình ở các cấp</t>
  </si>
  <si>
    <t>Tiểu dự án 3: Phát triển giáo dục nghề nghiệp và giải quyết việc làm cho người lao động vùng dân tộc thiểu số và miền núi</t>
  </si>
  <si>
    <t>Tiểu dự án 1: Phát triển kinh tế nông, lâm nghiệp gắn với bảo vệ rừng và nâng cao thu nhập cho người dân</t>
  </si>
  <si>
    <t xml:space="preserve">Dự án 4: Đầu tư cơ sở hạ tầng thiết yếu phục vụ sản xuất, đời sống trong vùng đồng bào dân tộc thiểu số và miền núi </t>
  </si>
  <si>
    <t>Dự án 10: Truyền thông, tuyên truyền vận động trong vùng đồng bào dân tộc thiểu số, kiểm tra giám sát đánh giá việc tổ chức thực hiện chương trình</t>
  </si>
  <si>
    <t>Tiểu dự án 3: Kiểm tra, giám sát, đánh giá, đào tạo tập huấn tổ chức thực hiện chương trình</t>
  </si>
  <si>
    <t>E</t>
  </si>
  <si>
    <t>G</t>
  </si>
  <si>
    <t>HUYỆN NA RÌ</t>
  </si>
  <si>
    <t>Dự án/Tiểu dự án</t>
  </si>
  <si>
    <t>Số kinh phí sự nghiệp còn dư, không có khả năng giải ngân</t>
  </si>
  <si>
    <t>Thuyết minh, giải trình rõ lý do dư vốn, không có khả năng giải ngân</t>
  </si>
  <si>
    <t>BIỂU TỔNG HỢP SỐ DƯ KINH PHÍ SỰ NGHIỆP CHI TIẾT THEO DỰ ÁN THÀNH PHẦN CỦA 
CHƯƠNG TRÌNH MỤC TIÊU QUỐC GIA PHÁT TRIỂN KINH TẾ - XÃ HỘI VÙNG ĐỒNG BÀO DÂN TỘC THIỂU SỐ VÀ MIỀN NÚI</t>
  </si>
  <si>
    <t>HUYỆN BẠCH THÔNG</t>
  </si>
  <si>
    <t>Phụ lục 01</t>
  </si>
  <si>
    <t>Phụ lục 02</t>
  </si>
  <si>
    <t>Không còn diện tích giao khoán rừng</t>
  </si>
  <si>
    <t>Dự án 5: Phát triển giáo dục đào tạo nâng cao chất lượng nguồn nhân lực</t>
  </si>
  <si>
    <t>Không có đối tượng đào tạo nghề</t>
  </si>
  <si>
    <t>Các nội dung thực hiện từ nguồn năm 2022, 2023 chuyển sang đã hết nhiệm vụ chi, các nhiệm vụ thực hiện năm 2024 đã được bố trí vốn năm 2024</t>
  </si>
  <si>
    <t>Lĩnh vực chi theo Quyết định giao vốn</t>
  </si>
  <si>
    <t>Nội dung số 03: Hỗ trợ chuyển đổi nghề</t>
  </si>
  <si>
    <t>Không có đối tượng thực hiện</t>
  </si>
  <si>
    <t>Không có đối tượng hỗ trợ</t>
  </si>
  <si>
    <t>Dự án 1. Giải quyết tình trạng thiếu đất ở, nhà ở, đất sản xuất, nước sinh hoạt</t>
  </si>
  <si>
    <t>Nội dung 3: Hỗ trợ chuyển đổi nghề</t>
  </si>
  <si>
    <t xml:space="preserve">Trên địa bàn huyện không còn đối tượng đủ điều kiện thụ hưởng nội dung hỗ trợ chuyển đổi nghề </t>
  </si>
  <si>
    <t>Nội dung của Dự án đã thực hiện xong và quyết toán nên thừa kinh phí</t>
  </si>
  <si>
    <t>Nội dung của Tiểu dự án đã thực hiện xong và quyết toán nên thừa kinh phí</t>
  </si>
  <si>
    <t>Theo Quyết định số 1719/QĐ-TTg ngày 14/10/2021 của Thủ tướng Chính phủ về phê duyệt Chương trình MTQG phát triển kinh tế - xã hội vùng đồng bào DTTS và miền núi giai đoạn 2021-2023, giai đoạn I từ năm 2021 đến năm 2025 thì đối tượng của nội dung về giáo dục nghề nghiệp là “cơ sở giáo dục nghề nghiệp”. Tuy nhiên, theo quy định tại khoản 1, Điều 5 Luật Giáo dục nghề nghiệp và khoản 2, Điều 44 Luật Giáo dục thì Trung tâm giáo dục nghề nghiệp - Giáo dục Thường xuyên cấp huyện không phải là cơ sở giáo dục nghề nghiệp nên không thuộc đối tượng được thực hiện hỗ trợ của Chương trình nên dư kinh phí</t>
  </si>
  <si>
    <t>Dự án 7: Chăm sóc sức khỏe Nhân dân, nâng cao thể trạng, tầm vóc người dân tộc thiểu số; phòng chống suy dinh dưỡng trẻ em</t>
  </si>
  <si>
    <t>Sự nghiệp Y tế</t>
  </si>
  <si>
    <t>Dự án 8. Thực hiện bình đẳng giới và giải quyết những vấn đề cấp thiết đối với phụ nữ và trẻ em</t>
  </si>
  <si>
    <t xml:space="preserve">Sự nghiệp kinh tế; Sự nghiệp đảm bảo xã hội </t>
  </si>
  <si>
    <t>Hiện nay Trung ương hội chưa có hướng dẫn cụ thể thực hiện hoạt động xây dựng mô hình tổ tiết kiệm vay vốn thôn bản nên địa phương không có cơ sở thực hiện nên dư kinh phí</t>
  </si>
  <si>
    <t>Dự án 10. Truyền thông, tuyên truyền, vận động trong vùng đồng bào dân tộc thiểu số và miền núi. Kiểm tra, giám sát đánh giá việc tổ chức thực hiện Chương trình</t>
  </si>
  <si>
    <t>Tiểu dự án 2: Ứng dụng công nghệ thông tin hỗ trợ phát triển kinh tế - xã hội và đảm bảo an ninh trật tự vùng đồng bào dân tộc thiểu số và miền núi</t>
  </si>
  <si>
    <t>Hiện nay, cấp trên chưa có văn bản hướng dẫn thực hiện các nội dung khác ngoài nội dung Tập huấn việc sử dụng, điều hành điểm ứng dụng CNTT. Vì vậy, địa phương chưa có cơ sở triển khai thực hiện, dư kinh phí</t>
  </si>
  <si>
    <t xml:space="preserve">Qua rà soát trên địa bàn huyện không có đối tượng có nhu cầu hỗ trợ chuyển đổi nghề </t>
  </si>
  <si>
    <t>Do Trung tâm y tế huyện chỉ triển khai thực hiện được một số nội dung trong dự án 7 như: Nâng cao chất lượng dân số vùng đồng bào dân tộc thiểu số và miền núi; chăm sóc sức khỏe dinh dưỡng bà mẹ trẻ em. Bên cạnh đó, các nội dung thực hiện không được trùng lặp về đối tượng, nên dư kinh phí</t>
  </si>
  <si>
    <t>Nội dung số 04: Hỗ trợ nước sinh hoạt phân tán</t>
  </si>
  <si>
    <t>Sau khi rà soát lại một số hộ đã được thụ hường từ các công trình nước sạch tập trung nên không sử dụng được nguồn vốn</t>
  </si>
  <si>
    <t>Trong công tác tuyển sinh các lớp, đào tạo nghề gặp khó khăn do người lao động không có mặt tại địa phương, các ngành nghề có nhu cầu không tập trung, không đủ số lượng để mở lớp, một số ít người lao động không có nhu cầu học nghề. Đa phần học viên đã được đào tạo theo chương trình Quyết định 1956 của UBND tỉnh</t>
  </si>
  <si>
    <t>Tiểu dự án 4, dự án 5 tài liệu đào tạo, tập huấn bồi dưỡng cho các nhóm đối tượng thực hiện chương trình ban hành muộn dẫn đến không thực hiện được theo kế hoạch đề ra.</t>
  </si>
  <si>
    <t>Chưa có hướng dẫn về việc thực hiện các nội dung Chuyển đổi số trong tổ chức triển khai thực hiện Chương trình MTQG phát triển KT-XH vùng đồng bào DTTS&amp;MN giai đoạn 2021-2030 và hỗ trợ xây dựng và duy trì chợ sản phẩm trực tuyến vùng đồng bào DTTS&amp;MN</t>
  </si>
  <si>
    <t>Dự toán ban đầu xây dựng số liệu xây dựng dự toán lấy theo công bố hiện trạng rừng huyện Na Rì gồm 6 nội dung hạng mục. Tuy nhiên đến thời điểm phân bổ, UBND các xã (chủ đầu tư) chỉ thực hiện triển khai đăng ký khối lượng thực hiện gồm 02 nội dung khoán bảo vệ rừng và hỗ trợ bảo vệ rừng tự nhiên hiện có. Đơn vị tư vấn thiết kế thiếu nhân lực, chậm tiến độ thiết kế và hoàn thiện hồ sơ dẫn đến việc thanh quyết toán chi phí bị chậm. Một phần diện tích rừng trên địa bàn các xã đã được mua, bán chuyển nhượng cho các cá nhân, tổ chức không sinh sống và làm việc tại địa phương nên không thuộc đối tượng thực hiện Tiểu dự án 1, Dự án 3 dẫn đến việc kết quả thực hiện không đạt được theo chỉ tiêu đã đề ra. Một phần diện tích rừng tự nhiên của các hộ gia đình manh mún, nhỏ lẻ chi phí cho việc thiết kế thấp nên đơn vị tư vấn thiết kế không chú trọng thực hiện đối với những diện tích này</t>
  </si>
  <si>
    <t>Các nội dung chi tại Thông tư 55/2023/TT-BTC ngày 15/8/2023 của Bộ Tài chính khó áp dụng trong việc triển khai các hoạt động, chỉ tiêu của Dự án 8 như: Hội nghị đối thoại chính sách, ra mắt Câu lạc bộ, mô hình... chỉ được chi tiền nước uống và 1 số nội dung chi khác, không có chi hỗ trợ tiền ăn cho đại biểu không hưởng lương tham dự hội nghị …; mức hỗ trợ kinh phí mua trang thiết bị cho câu lạc bộ, mô hình còn thấp (3 triệu/1 tổ truyền thông, CLB thủ lĩnh). Trung ương Hội có văn bản dừng triển khai mô hình Tổ tiết kiệm vay vốn thôn bản thuộc dự án 8, đồng nghĩa với việc một số hoạt động thuộc nội dung 2 của Dự án 8 chưa tổ chức triển khai được. Về nội dung hỗ trợ tổ nhóm sinh kế, tổ HTX do phụ nữ làm chủ ứng dụng công nghệ 4.0, để nâng cao quyền năng kinh tế cho phụ nữ dân tộc thiểu số trong sản xuất và kết nối thị trường cho các sản phẩm nông sản chưa có nhu cầu từ tổ nhóm sinh kế, tổ HTX, do vậy chưa thực hiện được</t>
  </si>
  <si>
    <t>Vốn được giao nhiều, huyện đã tổ chức tập huấn xong trong năm 2023, năm 2024 số vốn được phân bổ đã đủ để thực hiện các nội dung của dự án</t>
  </si>
  <si>
    <t>Do Bộ Thông tin và Truyền thông chưa có văn bản hướng dẫn cụ thể</t>
  </si>
  <si>
    <t>Dư vốn sau khi thanh toán theo hóa đơn mua sắm téc nước thực tế</t>
  </si>
  <si>
    <t>Không có đối tượng thực hiện; diện tích thiết kế thực tế thấp hơn diện tích dự tính ban đầu đề nghị phân bổ vốn</t>
  </si>
  <si>
    <t>Tiểu dự án 3: Phát triển giáo dục nghề nghiệp và giải quyết việc làm cho người lao động vùng dân tộc thiểu số và miền núi (Trung tâm Giáo dục nghề nghiệp - Giáo dục thường xuyên huyện)</t>
  </si>
  <si>
    <t>Đã hết nhiệm vụ chi (Do khi thanh toán, phần tiền ăn cho học viên tính theo ngày công thực tế nên giảm so với dự toán được giao, tiết kiệm chi phí mua sắm vật tư, nguyên vật liệu dạy nghề do thực hiện đấu thầu qua mạng)</t>
  </si>
  <si>
    <t>Dự toán gồm cả chuyên đề đấu thầu, tuy nhiên nội dung này Ban Dân tộc chủ trì thực hiện nên dư vốn</t>
  </si>
  <si>
    <t>Sự nghiệp kinh tế, sự nghiệp bảo đảm xã hội</t>
  </si>
  <si>
    <t>Văn bản, hướng dẫn chưa rõ ràng cụ thể nội dung, mục chi nên khó triển khai thực hiện; bên cạnh đó, Trung ương HLH Phụ nữ Việt Nam có công văn tạm dừng chưa triển khai nội dung tổ tiết kiệm và vay vốn thôn bản, chờ hướng dẫn thay thế hoặc triển khai nội dung hỗ trợ quyền năng kinh tế cho phụ nữ, dẫn đến dư kinh phí</t>
  </si>
  <si>
    <t>Dư vốn sau quyết toán</t>
  </si>
  <si>
    <t>Do cả tỉnh và huyện đều tổ chức tập huấn cùng nội dung và đối tượng vì vậy khó khăn trong quá trình thực hiện do trùng đối tượng và nội dung tập huấn</t>
  </si>
  <si>
    <t>Kinh phí cấp xã không chi do trùng với kinh phí giám sát đầu tư cộng đồng cấp xã</t>
  </si>
  <si>
    <t>Nội dung số 3. Hỗ trợ chuyển đổi nghề</t>
  </si>
  <si>
    <t xml:space="preserve">Dự án 1: Giải quyết tình trạng thiếu đất ở, đất sản xuất, nước sinh hoạt </t>
  </si>
  <si>
    <t>Dự án 1: Giải quyết tình trạng thiếu đất ở, đất sản xuất, nước sinh hoạt</t>
  </si>
  <si>
    <t>Hỗ trợ nước sinh hoạt phân tán</t>
  </si>
  <si>
    <t>Lĩnh vực sự nghiệp kinh tế</t>
  </si>
  <si>
    <t>Hết nhiệm vụ chi</t>
  </si>
  <si>
    <t>Do diện tích rừng sau khi phê duyệt thiết kế giảm, diện tích thực tế của người dân được hưởng lợi giảm, hơn nữa số kinh phí được phân bổ theo phương pháp tính điểm lớn hơn so với thực tế.</t>
  </si>
  <si>
    <t>Tiểu dự án 2: Hỗ trợ phát triển sản xuất cộng đồng</t>
  </si>
  <si>
    <t>Các dự án duy tu bảo dưỡng đã hoàn thành quyết toán, giảm trừ giá trị sau quyết toán, không còn nhu cầu sử dụng.</t>
  </si>
  <si>
    <t xml:space="preserve">Dự án 5: Phát triển giáo dục đào tạo nâng cao chất lượng nguồn nhân lực </t>
  </si>
  <si>
    <t>Tiểu dự án 3: Dự án phát triển giáo dục nghề nghiệp và giải quyết việc làm cho người lao động vùng đồng bào dân tộc thiểu số và miền núi</t>
  </si>
  <si>
    <t>Sự nghiệp giáo dục đào tạo và dạy nghề</t>
  </si>
  <si>
    <t>Sau khi rà soát không có đối tượng tham gia đào tạo nghề dẫn đến kinh phí còn dư</t>
  </si>
  <si>
    <t>Tiểu dự án 4: Đào tạo nâng cao năng lực cho cộng đồng và cán bộ triển khai chương trình nhà ở các cấp</t>
  </si>
  <si>
    <t xml:space="preserve">Sau khi rà soát nhu cầu thực tế số lượng học viên đăng ký giảm, hơn nữa số kinh phí được phân bổ theo phương pháp tính điểm lớn hơn so với thực tế, dẫn đến kinh phí còn dư </t>
  </si>
  <si>
    <t>Tiểu dự án 2: Giảm thiểu tình trạng tảo hôn và hôn nhân cận huyết thống trong vùng đồng bào dân tộc thiểu và miền núi</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</si>
  <si>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dân tộc thiểu số và miền núi</t>
  </si>
  <si>
    <t xml:space="preserve">Sau khi rà soát nhu cầu thực tế  giảm, hơn nữa số kinh phí được phân bổ theo phương pháp tính điểm lớn hơn so với thực tế, dẫn đến kinh phí còn dư </t>
  </si>
  <si>
    <t>Chưa có hướng dẫn thực hiện</t>
  </si>
  <si>
    <t>Đã hoàn thành  những nhiệm vụ chi theo kế hoạch năm nên không thực hiện đến nguồn kinh phí năm trước chuyển sang</t>
  </si>
  <si>
    <t xml:space="preserve">Sau khi rà soát nhu cầu thực tế số lượng học viên đăng ký thấp, hơn nữa số kinh phí được phân bổ theo phương pháp tính điểm lớn hơn so với thực tế, dẫn đến kinh phí còn dư </t>
  </si>
  <si>
    <t xml:space="preserve">Sau khi rà soát nhu cầu thực tế số lượng học viên, người có nhu cầu đi lao động đăng ký thấp, hơn nữa số kinh phí được phân bổ theo phương pháp tính điểm lớn hơn so với thực tế, dẫn đến kinh phí còn dư </t>
  </si>
  <si>
    <t>Đã hoàn thành những nhiệm vụ chi theo kế hoạch năm nên không thực hiện hết nguồn kinh phí được giao</t>
  </si>
  <si>
    <t>BIỂU ĐIỀU CHỈNH KINH PHÍ SỰ NGHIỆP THỰC HIỆN CHƯƠNG TRÌNH MỤC TIÊU QUỐC GIA  XÂY DỰNG NÔNG THÔN MỚI</t>
  </si>
  <si>
    <t>(Kèm theo Tờ trình số         /TTr-STC ngày       /4/2024 của Sở Tài chính tỉnh Bắc Kạn)</t>
  </si>
  <si>
    <t>Đơn vị: đồng</t>
  </si>
  <si>
    <t>Nội dung thành phần đề nghị điều chỉnh/ Đơn vị thực hiện</t>
  </si>
  <si>
    <t>Kinh phí sự nghiệp được giao</t>
  </si>
  <si>
    <t>Kinh phí đề nghị điều chỉnh</t>
  </si>
  <si>
    <t>Kinh phí sự nghiệp sau điều chỉnh</t>
  </si>
  <si>
    <t>Lĩnh vực chi tương ứng điều chỉnh tăng, giảm</t>
  </si>
  <si>
    <t xml:space="preserve">Lý do, sự cần thiết </t>
  </si>
  <si>
    <t>Điều chỉnh giảm</t>
  </si>
  <si>
    <t>Điều chỉnh tăng</t>
  </si>
  <si>
    <t>Tổng cộng</t>
  </si>
  <si>
    <t>Ngân sách trung ương</t>
  </si>
  <si>
    <t>Ngân sách địa phương</t>
  </si>
  <si>
    <t>1=2+3</t>
  </si>
  <si>
    <t>7=8+9</t>
  </si>
  <si>
    <t>4=5+6</t>
  </si>
  <si>
    <t>10=11+12</t>
  </si>
  <si>
    <t>TỔNG CỘNG</t>
  </si>
  <si>
    <t>CẤP TỈNH</t>
  </si>
  <si>
    <t>Sở Nông nghiệp và Phát triển nông thôn</t>
  </si>
  <si>
    <t>- Nguồn vốn địa phương: điều chỉnh tăng 122 triệu đồng (tương ứng với số kinh phí Văn phòng Điều phối nông thôn mới điều chỉnh giảm) để đảm bảo thực hiện "Hỗ trợ Chương trình chuyển đổi số trong xây dựng nông thôn mới, hướng tới nông thôn mới thông minh" theo mức hỗ trợ từ ngân sách nhà nước tại mục IV, Phụ lục số 2 Nghị quyết số 12/2022/NQ-HĐND ngày 29/8/2022 của HĐND tỉnh: ngân sách nhà nước hỗ trợ 99% trong đó NSTW hỗ trợ tối đa 70% tương ứng 354 triệu đồng , NSĐP hỗ trợ tối  thiểu 29% tương ứng 146 triệu đồng, huy động vận động nguồn lực khác 1% tương ứng 5 triệu đồng
- Nguồn vốn trung ương: điều chỉnh giảm  122 triệu đồng sang cho Văn phòng Điều phối nông thôn mới</t>
  </si>
  <si>
    <t>Nguồn kinh phí sự nghiệp năm 2024</t>
  </si>
  <si>
    <t>1.1</t>
  </si>
  <si>
    <t>Mục 7. Nâng cao chất lượng dịch vụ hành chính công, hoạt động của chính quyền cơ sở; thúc đẩy chuyển đổi số trong nông thôn mới, ứng dụng công nghệ thông tin, công nghệ số, tăng cường khả năng tiếp cận pháp luật cho người dân, bình đẳng giới và phòng chống bạo lực trên cơ sở giới.</t>
  </si>
  <si>
    <t>Hỗ trợ Chương trình chuyển đổi số trong xây dựng nông thôn mới, hướng tới nông thôn mới thông minh</t>
  </si>
  <si>
    <t>Văn phòng Điều phối nông thôn mới</t>
  </si>
  <si>
    <r>
      <t xml:space="preserve">- Nguồn vốn địa phương: điều chỉnh giảm 122 triệu đồng sang cho cho Sở Nông nghiệp và PTNT thực hiện </t>
    </r>
    <r>
      <rPr>
        <i/>
        <sz val="12"/>
        <color indexed="8"/>
        <rFont val="Times New Roman"/>
        <family val="1"/>
      </rPr>
      <t>"Hỗ trợ Chương trình chuyển đổi số trong xây dựng nông thôn mới, hướng tới nông thôn mới thông minh"</t>
    </r>
    <r>
      <rPr>
        <sz val="12"/>
        <color indexed="8"/>
        <rFont val="Times New Roman"/>
        <family val="1"/>
      </rPr>
      <t xml:space="preserve"> theo mức hỗ trợ từ ngân sách nhà nước tại mục IV, Phụ lục số 2 Nghị quyết số 12/2022/NQ-HĐND ngày 29/8/2022 của HĐND tỉnh: ngân sách nhà nước hỗ trợ 99% trong đó NSTW hỗ trợ tối đa 70% tương ứng 354 triệu đồng , NSĐP hỗ trợ tối  thiểu 29% tương ứng 146 triệu đồng, huy động vận động nguồn lực khác 1% tương ứng 5 triệu đồng.
- Nguồn vốn trung ương: điều chỉnh tăng 122 triệu đồng (tương ứng với số kinh phí Sở Nông nghiệp và PTNT điều chỉnh giảm)</t>
    </r>
  </si>
  <si>
    <t>Mục 3. Tiếp tục thực hiện có hiệu quả cơ cấu lại ngành nông nghiệp, phát triển kinh tế nông thôn</t>
  </si>
  <si>
    <t>Chi triển khai Chương trình mỗi xã một sản phẩm OCOP</t>
  </si>
  <si>
    <t>1.2</t>
  </si>
  <si>
    <t>Mục 10: Tăng cường công tác giám sát, đánh giá thực hiện chương trình; Nâng cao năng lực, truyền thông xây dựng nông thôn mới; thực hiện phong trào thi đua cả nước chung sức xây dựng nông thôn mới</t>
  </si>
  <si>
    <t>Chi nâng cao chất lượng và hiệu quả công tác kiểm tra, giám sát, đánh giá kết quả thực hiện Chương trình; xây dựng hệ thống giám sát, đánh giá; nhân rộng mô hình giám sát an ninh hiện đại và giám sát của cộng đồng</t>
  </si>
  <si>
    <t>Quản lý nhà nước, đảng, đoàn thể</t>
  </si>
  <si>
    <t>Đào tạo nâng cao năng lực đội ngũ cán bộ làm công tác xây dựng nông thôn mới các cấp, nâng cao nhận thức và chuyển đổi tư duy của người dân và cộng đồng</t>
  </si>
  <si>
    <t>Đẩy mạnh, đa dạng hình thức thông tin, truyền thông; triển khai phong trào “Cả nước thi đua xây dựng nông thôn mới”.</t>
  </si>
  <si>
    <t>CẤP HUYỆN</t>
  </si>
  <si>
    <r>
      <t xml:space="preserve">Ngày 29/02/2024, tại Công văn số 305/UBND-NN, UBND huyện Na Rì báo cáo nội dung kinh phí đã phân bổ không phù hợp với thực tế tại địa phương. Do khi lập dự toán chưa có văn bản hướng dẫn, đến ngày 02/01/2024 UBND tỉnh Bắc Kạn ban hành Phiếu chuyển số 37/PC-UBND chuyển Văn bản số 1252/VPĐP-NV&amp;MT ngày 27/12/2023 của Văn Phòng điều phối nông thôn mới Trung ương hướng dẫn tạm thời về thu gom, xử lý và quản lý nước thải sinh hoạt cho khu vực nông thôn (quy mô gia đình và cụm dân cư). UBND huyện Na Rì đề nghị xem xét điều chỉnh kinh phí trên sang được thực hiện các nội dung </t>
    </r>
    <r>
      <rPr>
        <i/>
        <sz val="12"/>
        <color theme="1"/>
        <rFont val="Times New Roman"/>
        <family val="1"/>
      </rPr>
      <t>“Chi hỗ trợ phát triển các mô hình xử lý nước thải sinh hoạt quy mô hộ gia đình, cấp thôn”</t>
    </r>
  </si>
  <si>
    <t>Mục 2. Phát triển hạ tầng kinh tế - xã hội, cơ bản đồng bộ, hiện đại, đảm bảo kết nối nông thôn - đô thị và kết nối các vùng miền</t>
  </si>
  <si>
    <t>Chi hỗ trợ phát triển các mô hình xử lý nước thải sinh hoạt quy mô hộ gia đình, cấp thôn</t>
  </si>
  <si>
    <t>Sự nghiệp môi trường</t>
  </si>
  <si>
    <t>Mục 6. Nâng cao chất lượng môi trường; xây dựng cảnh quan nông thôn sáng - xanh - sạch - đẹp, an toàn; giữ gìn và khôi phục cảnh quan truyền thống nông thôn</t>
  </si>
  <si>
    <t>Đề án/Kế hoạch tổ chức phân loại, thu gom, vận chuyển chất thải rắn trên địa bàn huyện; phát triển, nhân rộng các mô hình phân loại chất thải tại nguồn phát sinh</t>
  </si>
  <si>
    <t>Huyện Bạch Thông</t>
  </si>
  <si>
    <t>Nguồn kinh phí sự nghiệp năm 2022 chuyển sang năm 2024</t>
  </si>
  <si>
    <t>Lý do điều chỉnh giảm: sau khi triển khai rà soát lấy nhu cầu thực hiện mô hình, các hộ dân không đủ điều kiện để đối ứng kinh phí và không có nhu cầu khi triển khai chương trình</t>
  </si>
  <si>
    <t>Thực hiện mô hình sáng xanh sạch đẹp trên địa bàn xã Tân Tú</t>
  </si>
  <si>
    <t>Giữ gìn và khôi phục cảnh quan truyền thống của nông thôn Việt Nam, tập trung phát triển các mô hình thôn, xóm sáng, xanh, sạch, đẹp, an toàn khu dân cư kiểu mẫu</t>
  </si>
  <si>
    <t>BIỂU TỔNG HỢP SỐ DỰ KIẾN DƯ KINH PHÍ SỰ NGHIỆP CHI TIẾT THEO DỰ ÁN THÀNH PHẦN CỦA 
CHƯƠNG TRÌNH MỤC TIÊU QUỐC GIA GIẢM NGHÈO BỀN VỮNG</t>
  </si>
  <si>
    <t>(Kèm theo Tờ trình      /TTr-UBND ngày        tháng 4 năm 2024 của UBND tỉnh Bắc Kạn)</t>
  </si>
  <si>
    <t>Đơn vị/Dự án/Tiểu dự án</t>
  </si>
  <si>
    <t>Số kinh phí sự nghiệp dự kiến dư, không có khả năng giải ngân</t>
  </si>
  <si>
    <t>Chi tiết theo dự án, tiểu dự án</t>
  </si>
  <si>
    <t>Dự án 1: Hỗ trợ đầu tư phát triển hạ tầng KTXH (Duy tu bảo dưỡng công trình)</t>
  </si>
  <si>
    <t>Dự án 2: Đa dạng hóa sinh kế, phát triển mô hình giảm nghèo</t>
  </si>
  <si>
    <t>Dư tại Sở Lao đông - TB &amp; XH 3.285.170.210  đồng, do chủ trì liên kết không mua sắm được giống khoai tây đảm bảo chất lượng theo quy định. 
Dư tại Huyện Chợ Mới: 658.158.288 đồng, do phần đối ứng cao (40%) nên người dân không tham gia thực hiện dự án 
Kinh phí còn lại do còn dư do hết nhiệm vụ chi</t>
  </si>
  <si>
    <t>Dự án 3: Hỗ trợ phát triển sản xuất, cải thiện dinh dưỡng</t>
  </si>
  <si>
    <t>Tiểu dự án 1: Hỗ trợ phát triển sản xuất trong lĩnh vực nông nghiệp</t>
  </si>
  <si>
    <t>Kinh phí còn dư do hết nhiệm vụ chi</t>
  </si>
  <si>
    <t>Tiểu dự án 2. Cải thiện dinh dưỡng</t>
  </si>
  <si>
    <t>Do không có đối tượng nên không thể giải ngân hết kinh phí được giao</t>
  </si>
  <si>
    <t>Dự án 4.  Phát triển giáo dục nghề nghiệp, việc làm bền vững</t>
  </si>
  <si>
    <t>Tiểu dự án 1. Phát triển giáo dục nghề nghiệp vùng nghèo, vùng khó khăn</t>
  </si>
  <si>
    <t>+</t>
  </si>
  <si>
    <t>Nội dung hỗ trợ đào tạo nghề cho người lao động thuộc hộ nghèo, hộ cận nghèo, hộ mới thoát nghèo; người có thu nhập thấp</t>
  </si>
  <si>
    <t>Công tác tuyển sinh các lớp đào tạo nghề gặp nhiều khó khăn, trên địa bàn huyện có ít đối tượng; đối tượng người lao động có thu nhập thấp chưa có hướng dẫn cụ thể để áp dụng nên không thể giải ngân được hết số kinh phí được giao</t>
  </si>
  <si>
    <t>Hỗ trợ một số cơ sở giáo dục nghề nghiệp công lập trên địa bàn tỉnh</t>
  </si>
  <si>
    <t>Theo Văn bản số 1282/TCGDNN-KHTC ngày 29/6/2023 của Tổng cục Giáo dục nghề nghiệp; căn cứ vào khoản 1, Điều 5 Luật Giáo dục nghề nghiệp và khoản 1, Điều 44 Luật Giáo dục thì Trung tâm GDNN-GDTX cấp huyện không phải là cơ sở Giáo dục nghề nghiệp nên không thuộc đối tượng được hưởng, không được hỗ trợ sửa chữa, bảo dưỡng tài sản, một số hạng mục công trình, mua sắm máy móc, trang thiết bị, phương tiện đào tạo từ nguồn vốn thuộc Chương trình MTQG giảm nghèo.</t>
  </si>
  <si>
    <t>Tiểu dự án 2: Hỗ trợ người lao động đi làm việc ở nước ngoài theo hợp đồng</t>
  </si>
  <si>
    <t xml:space="preserve">Do đối tượng được hỗ trợ ít, nội dung hỗ trợ ít, mức chi thấp, đối tượng không cung cấp được hồ sơ chứng từ để được hỗ trợ theo quy định; hơn nữa số kinh phí được phân bổ theo phương pháp tính điểm lớn hơn so với thực tế, dẫn đến kinh phí còn dư </t>
  </si>
  <si>
    <t>Tiểu dự án 3: Hỗ trợ việc làm bền vững</t>
  </si>
  <si>
    <t>Do đối tượng để hỗ trợ ít, nội dung hỗ trợ ít, mức chi thấp nên không thể giải ngân được hết số kinh phí được giao</t>
  </si>
  <si>
    <t>Dự án 6: Truyền thông về giảm nghèo và thông tin</t>
  </si>
  <si>
    <t xml:space="preserve">Tiểu dự án 2: Truyền thông về giảm nghèo đa chiều </t>
  </si>
  <si>
    <t>Dự án 7: Nâng cao năng lực và giám sát đánh giá chương trình</t>
  </si>
  <si>
    <t>Tiểu dự án 1: Nâng cao năng lực cải thiện chương trình</t>
  </si>
  <si>
    <t>Tiểu dự án 2: Giám sát đánh giá</t>
  </si>
  <si>
    <t>Chi tiết theo cơ quan, đơn vị</t>
  </si>
  <si>
    <t>B1</t>
  </si>
  <si>
    <t>Cấp tỉnh</t>
  </si>
  <si>
    <t>Sở Lao động - Thương binh và xã hội</t>
  </si>
  <si>
    <t xml:space="preserve">Đề xuất điều chỉnh kinh phí còn dư 3.285.170.210  đồng sang cho Sở Nông nghiệp và PTNT để tiếp tục triển khai thực hiện. </t>
  </si>
  <si>
    <t>Dự án 2, Đa dạng hóa sinh kế, phát triển mô hình giảm nghèo</t>
  </si>
  <si>
    <t xml:space="preserve">Sở Lao động - TB &amp; XH được phân bổ kinh phí sự nghiệp thực hiện Dự án 2 là 3.611.000.000  đồng. Sở Lao động - TB &amp; XH đã triển khai thực hiện 02 dự án, số kinh phí đã giải ngân 321.679.790 đồng. Trong đó: Dự án liên kết chăn nuôi lợn nái móng cái sinh sản gắn với tiêu thụ sản phẩm trên địa bàn xã Trần Phú, huyện Na Rì: 309.651.840 đồng; Dự án liên kết sản xuất và phát triển nông nghiệp gắn với tiêu thụ cây khoai tây tại huyện Chợ Mới: chi công tác phí, xăng xe đi khảo sát, kiểm tra xây dựng dự án và chi phí thẩm định giá 16.177.950 đồng. Dự án liên kết sản xuất và phát triển nông nghiệp gắn với tiêu thụ cây khoai tây tại huyện Chợ Mới không thực hiện được do đơn vị chủ trì liên kết không mua được giống đủ tiêu chuẩn, chất lượng. Sở Lao động - TB &amp; XH đã báo cáo UBND tỉnh đề xuất dừng không thực hiện dự án và hủy bỏ danh mục dự án và ban hành Quyết định số 3041/QĐ-LĐTBXH ngày 08/12/2023 về việc hủy bỏ dự án liên kết sản xuất và phát triển nông nghiệp gắn với tiêu thụ cây khoai tây. Số kinh phí còn dư không còn nhu cầu sử dụng là: 3.285.170.210  đồng. </t>
  </si>
  <si>
    <t>Nguồn kinh phí năm 2022 chuyển sang năm 2024</t>
  </si>
  <si>
    <t>Sở Thông tin và Truyền thông</t>
  </si>
  <si>
    <t>Đề xuất điều chỉnh kinh phí còn dư 75.526.000  đồng sang thực hiện Tiểu dự án 1, Dự án 6:  Giảm nghèo về thông tin</t>
  </si>
  <si>
    <t>Dự án 7: Nâng cao năng lực và giám sát, đánh giá Chương trình</t>
  </si>
  <si>
    <t>Sự nghiệp giáo dục - đào tạo và dạy nghề</t>
  </si>
  <si>
    <t>Tiểu dự án 1: Nâng cao năng lực thực hiện Chương trình</t>
  </si>
  <si>
    <t>Tiểu dự án 2: Giám sát, đánh giá</t>
  </si>
  <si>
    <t>B2</t>
  </si>
  <si>
    <t>Cấp huyện</t>
  </si>
  <si>
    <t>Huyện Chợ Đồn</t>
  </si>
  <si>
    <t>Tiểu dự án 2: Cải thiện dinh dưỡng</t>
  </si>
  <si>
    <t>Sự nghiệp y tế</t>
  </si>
  <si>
    <t>Dự án 4: Phát triển giáo dục nghề nghiệp, việc làm bền vững</t>
  </si>
  <si>
    <t>Tiểu dự án 1: Phát triển giáo dục nghề nghiệp vùng nghèo, vùng khó khăn</t>
  </si>
  <si>
    <t>Sự nghiệp Giáo dục đào tạo, dạy nghề</t>
  </si>
  <si>
    <t>1.3</t>
  </si>
  <si>
    <t>Do trên địa bàn huyện có ít đối tượng để hỗ trợ, không có nội dung chi, mức chi thấp nên không thể giải ngân được hết số kinh phí được giao</t>
  </si>
  <si>
    <t>Huyện Na Rì</t>
  </si>
  <si>
    <t>Đề xuất điều chỉnh kinh phí còn dư 3.568.000.000 đồng để tiếp tục thực hiện trong năm 2024</t>
  </si>
  <si>
    <t>III</t>
  </si>
  <si>
    <t>Huyện Ngân Sơn</t>
  </si>
  <si>
    <t>Đề xuất điều chỉnh kinh phí còn dư 288.934.494 đồng để tiếp tục thực hiện trong năm 2024</t>
  </si>
  <si>
    <t>Dự án 3: Hỗ trợ phát triển sản xuất cải thiện dinh dưỡng</t>
  </si>
  <si>
    <t>1.4</t>
  </si>
  <si>
    <t>Tiểu dự án 1: Phát triển giáo dục nghề nghiệp vùng nghèo, vùng khó khăn:  nội dung Hỗ trợ một số cơ sở giáo dục nghề nghiệp trên địa bàn</t>
  </si>
  <si>
    <t>Hỗ trợ một số cơ sở giáo dục nghề nghiệp trên địa bàn</t>
  </si>
  <si>
    <t>1.5</t>
  </si>
  <si>
    <t>1.6</t>
  </si>
  <si>
    <t>IV</t>
  </si>
  <si>
    <t>Nguồn vốn năm 2022 chuyển sang năm 2024</t>
  </si>
  <si>
    <t xml:space="preserve">Dự án 2. Đa dạng hóa sinh kế, phát triển mô hình giảm nghèo </t>
  </si>
  <si>
    <t>Dự án 4. Phát triển giáo dục nghề nghiệp, việc làm bền vững</t>
  </si>
  <si>
    <t>Do người lao động không có mặt tại địa phương, các ngành nghề có nhu cầu không tập trung không đủ số lượng để mở lớp, một số ít người lao động không có nhu cầu học nghề, đối tượng chủ yếu là hộ nghèo, hộ cận nghèo và hộ mới thoát nghèo nên khó tuyển sinh.</t>
  </si>
  <si>
    <t>Tiểu dự án 3. Hỗ trợ việc làm bền vững</t>
  </si>
  <si>
    <t>Nguồn vốn năm 2023 chuyển sang năm 2024</t>
  </si>
  <si>
    <t>2.1</t>
  </si>
  <si>
    <t>2.2</t>
  </si>
  <si>
    <t>Dự án 3. Hỗ trợ phát triển sản xuất</t>
  </si>
  <si>
    <t>Do không có đối tượng thụ hưởng nên không thể giải ngân hết kinh phí được giao</t>
  </si>
  <si>
    <t>2.3</t>
  </si>
  <si>
    <t>Do người lao động không có mặt tại địa phương, các ngành nghề có nhu cầu không tập trung đủ số lượng để mở lớp, một số ít người lao động không có nhu cầu học nghề, đối tượng chủ yếu là hộ nghèo, hộ cận nghèo và hộ mới thoát nghèo nên khó tuyển sinh.</t>
  </si>
  <si>
    <t>Nội dung hỗ trợ một số cơ sở giáo dục nghề nghiệp công lập trên địa bàn tỉnh</t>
  </si>
  <si>
    <t>V</t>
  </si>
  <si>
    <t>Huyện Chợ Mới</t>
  </si>
  <si>
    <t>Kinh phí còn dư sau quyết toán (58.158.288,đ); Số kinh phí năm 2023 (600.000.000,đ) huyện phân bổ cho xã Bình Văn thực hiện, tuy nhiên do phần đối ứng cao (40%) người dân không tham gia thực hiện dự án nên không thực hiện được và dư kinh phí</t>
  </si>
  <si>
    <t>Kinh phí năm 2023 còn dư do hết nhiệm vụ chi</t>
  </si>
  <si>
    <t>Qua rà soát, không còn đối tượng đủ điều kiện để tổ chức các lớp đào tạo  nghề nên dư kinh phí</t>
  </si>
  <si>
    <t>VI</t>
  </si>
  <si>
    <t>Thành phố Bắc Kạn</t>
  </si>
  <si>
    <t>Không có đối tượng để triển khai thực hiện</t>
  </si>
  <si>
    <t>BIỂU ĐIỀU CHỈNH KINH PHÍ SỰ NGHIỆP THỰC HIỆN CHƯƠNG TRÌNH MỤC TIÊU QUỐC GIA GIẢM NGHÈO BỀN VỮNG</t>
  </si>
  <si>
    <t>Đơn vị thực hiện/ Nội dung thành phần đề nghị điều chỉnh</t>
  </si>
  <si>
    <t>Thuyết minh, giải trình rõ lý do điều chỉnh tăng, giảm</t>
  </si>
  <si>
    <t>11=2-5+8</t>
  </si>
  <si>
    <t>12=3-6+9</t>
  </si>
  <si>
    <t>Bổ sung kinh phí để đuy tu bảo dưỡng đường Nà Nọi - Hội trường tổ dân phố, thị trấn Nà Phặc do tăng quy mô.</t>
  </si>
  <si>
    <t>- Cấp tỉnh: Sở Lao động - TB &amp; XH dự kiến kinh phí còn dư không còn nhu cầu sử dụng là: 3.285.170.210 . Để đảm bảo hiệu quả nguồn vốn và chất lượng chuyên môn, nghiệp vụ khi triển khai thực hiện dự án, Sở Lao động - TB &amp; XH để xuất điều chỉnh sang cho Sở Nông nghiệp và PTNT để tiếp tục triển khai thực hiện trong năm 2024. 
- Cấp huyện: Qua rà soát số lượng dự án và số lượng các hộ dân tham gia các dự án tăng, đề xuất điều chỉnh tăng kinh phí hỗ trợ thực hiện dự án</t>
  </si>
  <si>
    <t>Qua rà soát số lượng dự án và số lượng các hộ dân tham gia các dự án tăng, đề xuất điều chỉnh tăng kinh phí hỗ trợ thực hiện dự án</t>
  </si>
  <si>
    <t>Tiểu dự án 1: Giảm nghèo về thông tin</t>
  </si>
  <si>
    <t xml:space="preserve">Đề xuất bổ sung kinh phí để thực hiện nội dung “Sản xuất mới các sản phẩm truyền thông dưới dạng điện tử tuyên truyền về giảm nghèo, bao gồm tiếng dân tộc thiểu số (nếu có) để phát sóng trên đài truyền thanh cấp xã, đăng tải trên cổng thông tin điện tử của địa phương, đơn vị nhằm cung cấp thông tin thiết yếu, có giá trị sử dụng lâu dài phục vụ xã hội, trong đó ưu tiên phục vụ khu vực có điều kiện kinh tế - xã hội đặc biệt khó khăn, có tỷ lệ hộ nghèo cao” theo hướng dẫn tại Văn bản số 247/STTTT-TTBCXB ngày 13/3/2024 của Sở Thông tin và Truyền thông </t>
  </si>
  <si>
    <t>Để nâng cao công tác kiểm tra giám sát cho các thành viên là BCĐ cấp xã, và điều tra viên trực tiếp thực hiện tại thôn bản, UBND các xã đề nghị được phân bổ kinh phí để triển khai thực hiện</t>
  </si>
  <si>
    <t>A1</t>
  </si>
  <si>
    <t>Để đảm bảo hiệu quả sử dụng nguồn vốn và chất lượng chuyên môn, nghiệp vụ khi triển khai thực hiện dự án, Sở Lao động - TB &amp; XH để xuất điều chỉnh số kinh phí còn dư là 3.285.170.210 đồng sang cho Sở Nông nghiệp và PTNT để tiếp tục triển khai thực hiện trong năm 2024. 
Việc điều chỉnh kinh phí giao Sở Lao động - TB &amp; XH sang Sở Nông nghiệp và PTNT đảm bảo phân bổ tối đa 15% nguồn vốn thực hiện Dự án 2 cho các Sở, ban, ngành cấp tỉnh theo quy định tại khoản 1, điều 7, Nghị quyết số 03/2022/NQ-HĐND ngày 27/4/2022 của HĐND tỉnh Bắc Kạn. Đồng thời, qua trao đổi, Sở Nông nghiệp và PTNT nhất trí tiếp nhận nguồn vốn theo đề nghị điều chỉnh của Sở Lao động - TB &amp; XH.</t>
  </si>
  <si>
    <t>Sở Nông nghiệp và phát triển nông thôn</t>
  </si>
  <si>
    <t>Dự án 6: Truyền thông và giảm nghèo về thông tin</t>
  </si>
  <si>
    <t>Sự nghiệp văn hóa - thông tin</t>
  </si>
  <si>
    <t>A2</t>
  </si>
  <si>
    <t>CẤP  HUYỆN</t>
  </si>
  <si>
    <t>Tiểu dự án 1: Hỗ trợ phát triển sản xuất</t>
  </si>
  <si>
    <t xml:space="preserve">Dự án 4: Phát triển giáo dục nghề nghiệp, việc làm bền vững </t>
  </si>
  <si>
    <t>Nội dung 1: Hỗ trợ đào tạo nghề cho người lao động thuộc hộ nghèo, hộ cận nghèo, hộ mới thoát nghèo, người lao động có thu nhập thấp</t>
  </si>
  <si>
    <t>Nội dung 2: Hỗ trợ một số cơ sở giáo dục nghề nghiệp công lập trên địa bàn tỉnh</t>
  </si>
  <si>
    <t xml:space="preserve"> - </t>
  </si>
  <si>
    <t>Tiểu dự án 1: Nâng cao năng lực thực hiện chương trình</t>
  </si>
  <si>
    <t>Do dự kiến số lượng các thành phần tham gia đào tạo tập huấn tăng, kinh phí đã giao 2024 không đủ để triển khai thực hiện.</t>
  </si>
  <si>
    <t xml:space="preserve"> +</t>
  </si>
  <si>
    <t>Thực hiện rộng thêm quy mô dự án đảm bảo chất lượng thực hiện các nội dung của chương trình và chỉ tiêu của chương trình. Bổ sung nội dung tăng cường hoạt động cải thiện chất lượng bữa ăn học đường và giáo dục chăm sóc dinh dưỡng; can thiệp phòng chống thiếu vi chất dinh dưỡng; bảo vệ, chăm sóc cho trẻ em lứa tuổi học đường từ 5 tuổi đến 16 tuổi; tập huấn nâng cao năng lực cho cán bộ y tế về cải thiện chăm học dinh dưỡng bà mẹ và trẻ em</t>
  </si>
  <si>
    <t>Tiểu dự án 2: Truyền thông về giảm nghèo đa chiều</t>
  </si>
  <si>
    <t>2.4</t>
  </si>
  <si>
    <t>Hiện nay Huyện mới tập trung thực hiện tổ chức tập huấn triển khai các văn bản mới để triển khai thực hiện các chương trình mục tiêu; đồng thời công tác tập huấn hướng dẫn rà soát hộ nghèo, hộ cận nghèo... thực tế chỉ đủ triển khai thực hiện tại cấp huyện. Để nâng cao công tác kiểm tra giám sát cho các thành viên là BCĐ cấp xã, và điều tra viên trực tiếp thực hiện tại thôn bản, UBND các xã đề nghị được phân bổ kinh phí để triển khai thực hiện</t>
  </si>
  <si>
    <t>Tiểu dự án 1: Phát triển giáo dục nghề nghiệp vùng nghèo, vùng khó khăn:</t>
  </si>
  <si>
    <t xml:space="preserve">Sau khi rà soát nhu cầu thực tế số lượng học viên đăng ký rất thấp, hơn nữa số kinh phí được phân bổ theo phương pháp tính điểm lớn hơn so với thực tế, dẫn đến kinh phí còn dư </t>
  </si>
  <si>
    <t xml:space="preserve">Mở rộng quy mô truyền thông, tăng số lượng bài viết về thục hiện giảm nghèo bền vững </t>
  </si>
  <si>
    <t>Kinh phí còn dư, đã hết nhiệm vụ chi đề nghị điều chỉnh giảm</t>
  </si>
  <si>
    <t>Dự án 1: Hỗ trợ đầu tư phát triển hạ tầng kinh tế - xã hội các huyện nghèo</t>
  </si>
  <si>
    <t>CHI TIẾT THEO DỰ ÁN</t>
  </si>
  <si>
    <t>CHI TIẾT THEO ĐỊA PHƯƠNG</t>
  </si>
  <si>
    <t>Nội dung 4: Hỗ trợ nước sinh hoạt phân tán</t>
  </si>
  <si>
    <t>Kinh phí dư do không có đối tượng học nghề để chuyển đổi nghề</t>
  </si>
  <si>
    <t>Đã thực hiện xong mua sắm téc nước cho các hộ dân dư do kinh phí giảm trong quá trình thẩm định giá</t>
  </si>
  <si>
    <t xml:space="preserve"> - Nội dung 3: Hỗ trợ chuyển đổi nghề</t>
  </si>
  <si>
    <t xml:space="preserve"> - Nội dung 4: Hỗ trợ nước sinh hoạt phân tán</t>
  </si>
  <si>
    <t xml:space="preserve"> - Tiểu dự án 1: Phát triển kinh tế nông, lâm nghiệp bền vững gắn với bảo vệ rừng và nâng cao thu nhập cho người dân</t>
  </si>
  <si>
    <t xml:space="preserve"> - Tiểu dự án 2: Hỗ trợ phát triển sản xuất theo chuỗi giá trị, vùng trồng dược liệu quý, thúc đẩy khởi sự kinh doanh, khởi nghiệp và thu hút đầu tư vùng đồng bào dân tộc thiểu số và miền núi</t>
  </si>
  <si>
    <t xml:space="preserve"> - Tiểu dự án 1: Đổi mới hoạt động, củng cố phát triển các trường phổ thông dân tộc nội trú, trường phổ thông dân tộc bán trú, trường phổ thông có học sinh ở bán trú và xóa mù chữ cho người dân vùng đồng bào dân tộc thiểu số</t>
  </si>
  <si>
    <t xml:space="preserve"> - Tiểu dự án 2: Bồi dưỡng kiến thức dân tộc; đào tạo dự bị đại học, đại học và sau đại học đáp ứng nhu cầu nhân lực cho vùng đồng bào dân tộc thiểu số và miền núi</t>
  </si>
  <si>
    <t xml:space="preserve"> - Tiểu dự án 3: Dự án phát triển giáo dục nghề nghiệp và giải quyết việc làm cho người lao động vùng dân tộc thiểu số và miền núi</t>
  </si>
  <si>
    <t xml:space="preserve"> - Tiểu dự án 4: Đào tạo nâng cao năng lực cho cộng đồng và cán bộ triển khai Chương trình ở các cấp</t>
  </si>
  <si>
    <t xml:space="preserve"> - Tiểu dự án 2: Giảm thiểu tình trạng tảo hôn và hôn nhân cận huyết thống trong vùng đồng bào dân tộc thiểu số và miền núi</t>
  </si>
  <si>
    <t xml:space="preserve"> - 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dân tộc thiểu số và miền núi</t>
  </si>
  <si>
    <t xml:space="preserve"> - Tiểu dự án 2: Ứng dụng công nghệ thông tin hỗ trợ phát triển kinh tế - xã hội và đảm bảo an ninh trật tự vùng đồng bào dân tộc thiểu số và miền núi</t>
  </si>
  <si>
    <t xml:space="preserve"> - Tiểu dự án 3: Kiểm tra, giám sát, đánh giá, đào tạo, tập huấn tổ chức thực hiện Chương trình</t>
  </si>
  <si>
    <t>Sự nghiẹp kinh tế</t>
  </si>
  <si>
    <t>Đối với kinh phí giao năm 2022, các xã đã thanh toán theo đúng diện tích rừng được thiết kế của giai đoạn trước nên dư vốn. Đối với kinh phí giao năm 2023, qua rà soát để thực hiện thiết kế diện tích rừng tự nhiên do cấp xã quản lý và lập hồ sơ giao khoán bảo vệ rừng, hiện nay diện tích rừng tự nhiên của các xã còn ít. Bên cạnh đó, do đơn vị tư vấn thiết kế chậm trong triển khai thực hiện các nội dung để lập hồ sơ giao khoán bảo vệ rừng. Vì vậy, các xã chỉ thanh toán được phần diện tích đã được thiết kế trong 3 tháng cuối năm 2023 nên dư kinh phí; nguồn năm 2024 được giao đã đảm bảo thực hiện được các nội dung của dự án này.</t>
  </si>
  <si>
    <t>Biểu số 02</t>
  </si>
  <si>
    <t>Biểu số 03</t>
  </si>
  <si>
    <t>HUYỆN BA BỂ</t>
  </si>
  <si>
    <t>Qua rà soát các đơn vị không có nhu cầu thực hiện, thu hồi về ngân sách</t>
  </si>
  <si>
    <t>Kinh phí còn dư sau quyết toán, thu hồi về ngân sách</t>
  </si>
  <si>
    <t>Dự án 4: Đầu tư cơ sở hạ tầng thiết yếu, phục vụ sản xuất, đời sống trong vùng đồng bào dân tộc thiểu số và miền núi và các đơn vị sự nghiệp công lập của lĩnh vực dân tộc</t>
  </si>
  <si>
    <t>Trong quá trình thực hiện, qua rà soát các đơn vị không có nội dung chi, thu hồi về ngân sách</t>
  </si>
  <si>
    <t>H</t>
  </si>
  <si>
    <t>HUYỆN PÁC NẶM</t>
  </si>
  <si>
    <t>Sự nghiệp ĐBXH</t>
  </si>
  <si>
    <t>Năm 2022, kinh phí cấp muộn, các hướng dẫn chưa cụ thể do vậy một số hạng mục không thực hiện giải ngân được theo kế hoạch nên dư kinh phí; năm 2023, thực hiện thiết kế diện tích giao khoán bảo vệ rừng không đạt theo kế hoạch, một số hạng mục không thực hiện được như: khoanh nuôi tái sinh có trồng bổ sung, trợ cấp gạo... nên dư kinh phí</t>
  </si>
  <si>
    <t>Không có đối tượng đào tạo nghề; người lao động không cung cấp được hóa đơn chứng từ để thanh toán hỗ trợ theo quy định</t>
  </si>
  <si>
    <t>Năm 2023, Uỷ ban Dân tộc và UBND tỉnh ban hành Quyết định phê duyệt các Chuyên đề đào tạo, tập huấn muộn do vậy dư kinh phí; các hoạt động năm 2024 đã có nguồn phân bổ năm 2024 thực hiện đảm bảo</t>
  </si>
  <si>
    <t>Năm 2023, một số hoạt động thực hiện không đạt theo kế hoạch đề ra do vậy dư kinh phí; các hoạt động năm 2024 đã có nguồn phân bổ năm 2024 thực hiện đảm bảo</t>
  </si>
  <si>
    <t>Do đối tượng tập huấn ít, nội dung tập huấn không thật sự cần thiết</t>
  </si>
  <si>
    <t>Nội dung số 03: Hỗ trợ đất sản xuất, chuyển đổi nghề</t>
  </si>
  <si>
    <t>Kinh phí dư do không có đối tượng học nghề để chuyển đổi nghề, không có đối tượng đáp ứng được tiêu chí thiếu đất sản xuất theo quy định để hỗ trợ máy móc, nông cụ</t>
  </si>
  <si>
    <t>Nội dung số 04: Hỗ trợ nước sinh hoạt</t>
  </si>
  <si>
    <t>Một số xã không còn đối tượng hỗ trợ nước sinh hoạt phân tán do đã được hưởng lợi từ công trình nước sinh hoạt tập trung</t>
  </si>
  <si>
    <t>Tiểu Dự án 1: Phát triển kinh tế nông, lâm nghiệp bền vững gắn với bảo vệ rừng và nâng cao thu nhập cho người dân</t>
  </si>
  <si>
    <t>Qua rà soát một số hạng mục diện tích thực hiện không đạt theo kế hoạch đề ra nên dư kinh phí</t>
  </si>
  <si>
    <t>Tiểu Dự án 4: Đào tạo nâng cao năng lực cho cộng đồng và cán bộ triển khai Chương trình ở các cấp</t>
  </si>
  <si>
    <t>Tiểu dự án 1: Biểu dương, tôn vinh điển hình tiên tiến, phát huy vai trò của người có uy tín; phổ biến, giáo dục pháp luật và tuyên truyền, vận động đồng bào; truyền thông phục vụ tổ chức triển khai thực hiện Đề án Tổng thể và Chương trình mục tiêu quốc gia</t>
  </si>
  <si>
    <t>Kinh phí phân bổ cho Phòng Tài nguyên và Môi trường thực hiện tuyên truyền về Luật Đất đai (Sửa đổi) và Môi trường, tuy nhiên Luật Đất đai (sửa đổi) có hiệu lực thi hành từ 01/01/2025 do vậy việc tuyên truyền không thực hiện trong năm 2024</t>
  </si>
  <si>
    <t>Kinh phí phân bổ cho Phòng Văn hóa và Thông tin thực hiện đào tạo, tập huấn các Chuyên đề được phê duyệt tại QĐ 951, 86 của Ủy ban Dân tộc, tuy nhiên qua rà soát nội dung, đối tượng thực hiện chưa phù hợp</t>
  </si>
  <si>
    <t>Do đối tượng tập huấn ít</t>
  </si>
  <si>
    <t xml:space="preserve">Tiểu dự án 1: Đầu tư cơ sở hạ tầng thiết yếu, phục vụ sản xuất, đời sống trong vùng đồng bào dân tộc thiểu số và miền núi </t>
  </si>
  <si>
    <t>Tiểu dự án 1: Đổi mới hoạt động, củng cố phát triển các trường phổ thông dân tộc nội trú, trường phổ thông dân tộc bán trú, trường phổ thông có học sinh ở bán trú và xóa mù chữ cho người dân vùng đồng bào dân tộc thiểu số</t>
  </si>
  <si>
    <t>BIỂU CHI TIẾT NỘI DUNG THỰC HIỆN CỦA CÁC DỰ ÁN ĐỀ XUẤT ĐIỀU CHỈNH TĂNG VỐN
CHƯƠNG TRÌNH MTQG PHÁT TRIỂN KT-XH VÙNG ĐỒNG BÀO DÂN TỘC THIỂU SỐ VÀ MIỀN NÚI</t>
  </si>
  <si>
    <t>Dự án/Tiểu dự án đề xuất điều chỉnh tăng</t>
  </si>
  <si>
    <t>Số kinh phí đề xuất điều chỉnh tăng</t>
  </si>
  <si>
    <t>Nội dung thực hiện của dự án/tiểu dự án từ nguồn kinh phí đề xuất điều chỉnh tăng</t>
  </si>
  <si>
    <t>Thực hiện tập huấn và nâng cao năng lực cho cán bộ công chức làm công tác dân tộc</t>
  </si>
  <si>
    <t>Đầu tư mua sắm trang thiết bị cho các nhà họp thôn tại vùng đồng bào dân tộc thiểu số và miền núi</t>
  </si>
  <si>
    <t>Nội dung 04: Hỗ trợ nước sinh hoạt phân tán</t>
  </si>
  <si>
    <t>Hỗ trợ hộ dân: lu, bồn, téc, vật dụng chứa nước, vật dụng dẫn nước</t>
  </si>
  <si>
    <t>Qua rà soát trên địa bàn huyện còn 116  nhà văn hóa thôn chưa có thiết chế văn hóa, trong năm 2024, UBND huyện đã phân bổ cho Phòng Văn hóa và Thông tin 542 triệu đồng để thực hiện mua sắm thiết chế cho 18 nhà văn hóa thôn. Căn cứ vào nhu cầu thực tế cần thực hiện đề nghị được điều chỉnh kinh phí để thực hiện mua sắm thiết chế văn hóa cho 98  nhà văn hóa thôn còn lại chưa được hỗ trợ mua sắm</t>
  </si>
  <si>
    <t>BIỂU CHI TIẾT DANH MỤC CÁC DỰ ÁN HỖ TRỢ PHÁT TRIỂN SẢN XUẤT THUỘC TIỂU DỰ ÁN 2, DỰ ÁN 3 SỬ DỤNG NGUỒN KINH PHÍ ĐIỀU CHỈNH TĂNG 
THUỘC CHƯƠNG TRÌNH MỤC TIÊU QUỐC GIA PHÁT TRIỂN KT-XH VÙNG ĐỒNG BÀO DÂN TỘC THIỂU SỐ VÀ MIỀN NÚI</t>
  </si>
  <si>
    <t>Tên dự án hỗ trợ phát triển sản xuất thuộc 
Tiểu dự án 2, Dự án 3</t>
  </si>
  <si>
    <t>Tổng nhu cầu vốn thực hiện dự án</t>
  </si>
  <si>
    <t>Số đã bố trí trong giai đoạn 
2022-2024
(nếu có)</t>
  </si>
  <si>
    <t>Nhu cầu vốn còn thiếu đề nghị sử dụng từ 
nguồn kinh phí điều chỉnh tăng</t>
  </si>
  <si>
    <t>Ghi chú</t>
  </si>
  <si>
    <t>5=6+7=3-4</t>
  </si>
  <si>
    <t>a</t>
  </si>
  <si>
    <t>Xã Cốc Đán</t>
  </si>
  <si>
    <t>Dự án chăn nuôi lợn thịt</t>
  </si>
  <si>
    <t>Dự án chăn nuôi lợn thịt bản địa</t>
  </si>
  <si>
    <t>b</t>
  </si>
  <si>
    <t>Xã Bằng Vân</t>
  </si>
  <si>
    <t>Dự án chăn nuôi ngựa</t>
  </si>
  <si>
    <t>Dự án chăn nuôi ngựa bạch</t>
  </si>
  <si>
    <t>Dự án chăn nuôi lợn</t>
  </si>
  <si>
    <t>c</t>
  </si>
  <si>
    <t>Xã Đức Vân</t>
  </si>
  <si>
    <t>d</t>
  </si>
  <si>
    <t>Xã Thượng Quan</t>
  </si>
  <si>
    <t>Dự án phát triển sản xuất liên kết chuỗi giá trị gắn với tiêu thụ sản phẩm gà thịt</t>
  </si>
  <si>
    <t>Dự án phát triên sản xuất cộng đồng: Dự án chăn nuôi lợn lai</t>
  </si>
  <si>
    <t>e</t>
  </si>
  <si>
    <t>Xã Hiệp Lực</t>
  </si>
  <si>
    <t>f</t>
  </si>
  <si>
    <t>Xã Trung Hòa</t>
  </si>
  <si>
    <t>Dự án chăn nuôi trâu sinh sản</t>
  </si>
  <si>
    <t>UBND xã Xuân Dương</t>
  </si>
  <si>
    <t>Dự án phát triển sản xuất cộng đồng chăn nuôi lợn thịt</t>
  </si>
  <si>
    <t>Dự án phát triển sản xuấttheo chuỗi giá trị chăn nuôi gà thịt</t>
  </si>
  <si>
    <t>UBND xã Quang Phong</t>
  </si>
  <si>
    <t>Dự án phát triển sản xuất cộng đồng trồng ngô ngọt</t>
  </si>
  <si>
    <t>Dự án phát triển sản xuất cộng đồng chăn nuôi dê</t>
  </si>
  <si>
    <t>UBND xã Dương Sơn</t>
  </si>
  <si>
    <t>Dự án phát triển sản xuất cộng đồng trồng cây lúa</t>
  </si>
  <si>
    <t>UBND xã  Cư Lễ</t>
  </si>
  <si>
    <t>Dự án phát triển sản xuất theo chuỗi giá trị chăn nuôi gà thịt</t>
  </si>
  <si>
    <t xml:space="preserve">Dự án phát triển sản xuất cộng đồng chăn nuôi ngựa sinh sản </t>
  </si>
  <si>
    <t>UBND xã Văn Vũ</t>
  </si>
  <si>
    <t>UBND xã  Lương Thượng</t>
  </si>
  <si>
    <t>UBND xã  Văn Minh</t>
  </si>
  <si>
    <t xml:space="preserve">Dự án phát triển sản xuất cộng đồng nuôi cá </t>
  </si>
  <si>
    <t>UBND xã  Trần Phú</t>
  </si>
  <si>
    <t xml:space="preserve">Dự án phát triển sản xuất cộng đồng trồng cây hồng </t>
  </si>
  <si>
    <t>UBND xã  Sơn Thành</t>
  </si>
  <si>
    <t>Dự án phát triển sản xuất cộng đồng trồng cây lạc</t>
  </si>
  <si>
    <t>UBND xã  Liêm Thủy</t>
  </si>
  <si>
    <t>UBND xã  Côn Minh</t>
  </si>
  <si>
    <t>Dự án phát triển sản xuất cộng đồng chăn nuôi gà thịt</t>
  </si>
  <si>
    <t>BIỂU CHI TIẾT DANH MỤC CÁC DỰ ÁN DUY TU, BẢO DƯỠNG THUỘC TIỂU DỰ ÁN 1, DỰ ÁN 4 SỬ DỤNG NGUỒN KINH PHÍ ĐIỀU CHỈNH TĂNG 
THUỘC CHƯƠNG TRÌNH MỤC TIÊU QUỐC GIA PHÁT TRIỂN KT-XH VÙNG ĐỒNG BÀO DÂN TỘC THIỂU SỐ VÀ MIỀN NÚI</t>
  </si>
  <si>
    <t>Tên dự án duy tu, bảo dưỡng thuộc 
Tiểu dự án 1, Dự án 4</t>
  </si>
  <si>
    <t>Tổng mức đầu tư được duyệt
 (hoặc dự kiến)</t>
  </si>
  <si>
    <t>5=6+7</t>
  </si>
  <si>
    <t>Đại Sảo</t>
  </si>
  <si>
    <t>Bình Trung</t>
  </si>
  <si>
    <t>Duy tu bảo dưỡng kênh Tông Liên</t>
  </si>
  <si>
    <t>Duy tu bảo dưỡng Đập Nà Kham</t>
  </si>
  <si>
    <t>Duy tu bảo dưỡng công trình đập kênh Bản Ca</t>
  </si>
  <si>
    <t>Duy tu bảo dưỡng Công trình nước sinh hoạt Khuổi Tát</t>
  </si>
  <si>
    <t>Bằng Phúc</t>
  </si>
  <si>
    <t>Duy tu đường trục thôn Khuổi Cưởm</t>
  </si>
  <si>
    <t>Duy tu đường trục thôn Nà Pài - Bản Quân</t>
  </si>
  <si>
    <t>Duy Tu đường Bản Mới - Phiêng Phung</t>
  </si>
  <si>
    <t>Duy tu đường trục thôn Nà Hồng</t>
  </si>
  <si>
    <t>Duy tu đường trục thôn Nà Bay</t>
  </si>
  <si>
    <t>Duy tu đường trục thôn Bản Chang</t>
  </si>
  <si>
    <t>Duy tu kênh mương Phai Quang, thôn Nà Pài</t>
  </si>
  <si>
    <t>Duy tu kênh mương Nà Lịn thôn Nà Pài</t>
  </si>
  <si>
    <t>Duy tu kênh mương Phai Nà Lòong thôn Khuổi Cưởm</t>
  </si>
  <si>
    <t>Yên Phong</t>
  </si>
  <si>
    <t>Duy tu kênh Đon Mạ</t>
  </si>
  <si>
    <t>Duy tu kênh Bản Lanh đoạn 1 (ông Sông)</t>
  </si>
  <si>
    <t>Duy tu kênh Bản Lanh đoạn 2</t>
  </si>
  <si>
    <t>Duy tu kênh Bản Lanh đoạn 3</t>
  </si>
  <si>
    <t>Đường trục thôn Nà Chợ</t>
  </si>
  <si>
    <t>Sửa chữa nhà văn hóa thôn Nà Mạng, Pác Cộp, Nà Chợ</t>
  </si>
  <si>
    <t>Đường Ngõ xóm các thôn</t>
  </si>
  <si>
    <t>Tân Lập</t>
  </si>
  <si>
    <t>Duy tu bảo dưỡng đường trục thôn Nà Lược</t>
  </si>
  <si>
    <t>Bản Thi</t>
  </si>
  <si>
    <t>Duy tu đường nước sạch thôn Bản Nhài</t>
  </si>
  <si>
    <t>Bằng Lãng</t>
  </si>
  <si>
    <t>Duy tu, sửa chữa đường Nà Trạo - Khu C (Đoạn qua thôn Nà Khắt)</t>
  </si>
  <si>
    <t>Nghĩa Tá</t>
  </si>
  <si>
    <t>Duy tu tuyến đường từ cầu tràn Bản Bẳng đến hội trường thôn Bản Bẳng (đoạn 2)</t>
  </si>
  <si>
    <t>Đồng Thắng</t>
  </si>
  <si>
    <t>Duy tu kênh Nà Dăm</t>
  </si>
  <si>
    <t>Duy tu đường giao thông Pác Giả</t>
  </si>
  <si>
    <t>Duy tu đường Nà Lộc</t>
  </si>
  <si>
    <t>Sửa chữa nhà văn hóa Cốc Quang</t>
  </si>
  <si>
    <t>Duy tu bảo dưỡng công trình đường Roỏng Tùm- Khuổi Rẹt và công trình phụ trợ</t>
  </si>
  <si>
    <t>Duy tu bảo dưỡng công trình đường Bản Kéo - Nà Vàu và công trình phụ trợ</t>
  </si>
  <si>
    <t>Duy tu bảo dưỡng công trình đường Nà Pẻn- Khuổi Phấy</t>
  </si>
  <si>
    <t>Duy tu sửa chữa hội trường Khuổi Phấy</t>
  </si>
  <si>
    <t>Duy tu sửa chữa hội trường Bản Pjải</t>
  </si>
  <si>
    <t>Duy tu sửa chữa hội trường Nà Pài</t>
  </si>
  <si>
    <t>Duy tu sửa chữa hội trường Roỏng Tùm</t>
  </si>
  <si>
    <t>Duy tu bảo dưỡng công trình đường thôn Trung Tâm- Bản Tý</t>
  </si>
  <si>
    <t>Duy tu bảo dưỡng công trình đường Tân Khang và công trình phụ trợ</t>
  </si>
  <si>
    <t>Duy tu bảo dưỡng công trình đường Bản Chang và công trình phụ trợ</t>
  </si>
  <si>
    <t>Duy tu bảo dưỡng công trình Bản Vọt</t>
  </si>
  <si>
    <t>Duy tu bảo dưỡng công trình đường GTLT Bản Mới- Tài Chang- Khuôn Tắng</t>
  </si>
  <si>
    <t>Duy tu bảo dưỡng kênh mương nội đồng Khuổi Tà</t>
  </si>
  <si>
    <t>Duy tu bảo dưỡng Nhà văn hóa thôn Tài Chang</t>
  </si>
  <si>
    <t>Cải tạo, nâng cấp phai, kênh mương nà sái thôn Nà Đon (đoạn nối tiếp năm 2022)</t>
  </si>
  <si>
    <t>Cải tạo, nâng cấp đường ngõ xóm thôn Nà Đon</t>
  </si>
  <si>
    <t>Duy tu bảo dưỡng đường trục thôn Bản Đén 1</t>
  </si>
  <si>
    <t>Duy tu sửa chữa các Nhà văn hóa thôn</t>
  </si>
  <si>
    <t>Duy tu sửa chữa kênh mương Nà Lằng</t>
  </si>
  <si>
    <t>Duy tu bảo dưỡng đường trục thôn Làng Điền</t>
  </si>
  <si>
    <t>Duy tu bảo dưỡng công trình kênh mương Tát Vạ- thôn Tát Vạ</t>
  </si>
  <si>
    <t>Duy tu bảo dưỡng công trình kênh mương Nà Đon thôn Nà Đon</t>
  </si>
  <si>
    <t>Duy tu bảo dưỡng công trình kênh mương Phai Đeng thôn Thôm Chầu</t>
  </si>
  <si>
    <t>Duy tu sửa chữa công trình nước sinh hoạt tập trung Khuổi Muối thôn Nà Làng</t>
  </si>
  <si>
    <t>Duy tu sửa chữa công trình nước sinh hoạt tập trung Tát Vạ thôn Tát Vạ</t>
  </si>
  <si>
    <t>Duy tu đường giao thông liên thôn Thôm Chầu - Nà Đon</t>
  </si>
  <si>
    <t>Duy tu bảo dưỡng Nhà văn hóa thôn Nà Nguộc</t>
  </si>
  <si>
    <t>Duy tu bảo dưỡng Nhà văn hóa thôn Phiêng Câm</t>
  </si>
  <si>
    <t xml:space="preserve">Duy tu bảo dưỡng Nhà Văn hóa thôn Hành Khiến </t>
  </si>
  <si>
    <t>Duy tu bảo dưỡng đường trục thôn Bản Phố</t>
  </si>
  <si>
    <t>Duy tu bảo dưỡng đường trục thôn Tân Minh</t>
  </si>
  <si>
    <t>Duy tu bảo dưỡng đường liên thôn Nà Nguộc- Phiêng Câm</t>
  </si>
  <si>
    <t>Sửa chữa mương Phai Túm</t>
  </si>
  <si>
    <t>Duy tu, bảo dưỡng kênh Nà Luông</t>
  </si>
  <si>
    <t>Sửa chữa mương Nà Mò</t>
  </si>
  <si>
    <t>Sửa chữa nhà văn hóa thôn Nà Cháo</t>
  </si>
  <si>
    <t>Xã Thượng Ân</t>
  </si>
  <si>
    <t>xã Thượng Quan</t>
  </si>
  <si>
    <t>Duy tu kênh Vàng, thôn Nà Ngần</t>
  </si>
  <si>
    <t>Duy tu công trình Đường Bản Mấư – Ma Nòn</t>
  </si>
  <si>
    <t>Xã Thuần Mang</t>
  </si>
  <si>
    <t>Duy tu bảo dưỡng công trình đường nội bộ đoạn 2</t>
  </si>
  <si>
    <t>Duy tu bảo dưỡng công trình đường quốc lộ 279 - Khuổi Lầy</t>
  </si>
  <si>
    <t>Duy tu bảo dưỡng công trình đường Nà Mu, Khuổi Chắp</t>
  </si>
  <si>
    <t>Duy tu bảo dưỡng rãnh thoăt nước đường Khu Chợ - Bản Băng</t>
  </si>
  <si>
    <t>xã Hiệp Lực</t>
  </si>
  <si>
    <t>Duy tu bảo dưỡng đường từ QL 279 đến khu dân cư Bó Tình  thôn Nà Vài</t>
  </si>
  <si>
    <t>Duy tu bảo dưỡng  Kênh Phiêng Sảng</t>
  </si>
  <si>
    <t>Duy tu bảo dưỡng Đập kênh Khuổi Làn</t>
  </si>
  <si>
    <t>Duy tu bảo dưỡng đường vào khu sản xuất Bản Phắng</t>
  </si>
  <si>
    <t>Thị trấn Nà Phặc</t>
  </si>
  <si>
    <t>Duy tu bảo dưỡng đường từ quốc lộ 3 đến trường tiểu học Nà Phặc</t>
  </si>
  <si>
    <t>Xã Văn Vũ</t>
  </si>
  <si>
    <t>Trụ sở UBND xã và Nhà Văn hóa xã</t>
  </si>
  <si>
    <t>Xã Văn Lang</t>
  </si>
  <si>
    <t>Duy tu sửa chữa đường liên thôn đường Too Đoóc- Bản Sảng</t>
  </si>
  <si>
    <t>Xã Côn Minh</t>
  </si>
  <si>
    <t>Duy tu, bảo dưỡng nhà UBND, nhà Văn hóa xã</t>
  </si>
  <si>
    <t>Xã Đổng Xá</t>
  </si>
  <si>
    <t>Duy tu, bảo dưỡng Trụ sở UBND xã, Nhà vệ sinh UBND xã Đổng Xá</t>
  </si>
  <si>
    <t>Xã Văn Minh</t>
  </si>
  <si>
    <t>Duy tu, bảo dưỡng các tuyến đường giao thông xã quản lý trên địa bàn xã Văn Minh, huyện Na Rì</t>
  </si>
  <si>
    <t>Xã Dương Sơn</t>
  </si>
  <si>
    <t>Duy tu bảo dưỡng Đường Rầy Ỏi -Khuổi kheo, xã Dương Sơn</t>
  </si>
  <si>
    <t>Duy tu bảo dưỡng Đường Nà Giàng</t>
  </si>
  <si>
    <t>Xã Kim Hỷ</t>
  </si>
  <si>
    <t>Duy tu, bảo dưỡng trụ sở UBND xã Kim Hỷ</t>
  </si>
  <si>
    <t>Xã Quang Phong</t>
  </si>
  <si>
    <t>Duy tu, Bảo dưỡng Sửa chữa Nhà trụ sở Đảng Ủy- HĐND-UBND xã, nhà vệ sinh UBND, tường rào UBND xã Quang Phong</t>
  </si>
  <si>
    <t>Xã Liêm Thủy</t>
  </si>
  <si>
    <t>Sửa chữa, duy tu, bảo dưỡng Nhà trụ sở UBND xã Liêm Thủy</t>
  </si>
  <si>
    <t>Xã Lương Thượng</t>
  </si>
  <si>
    <t>Duy tu bảo dưỡng cầu treo Pàn Xả Vằng Khít, xã Lương Thượng</t>
  </si>
  <si>
    <t>Duy tu bảo dưỡng mương tiêu nà mùn thôn Bản Giang, xã Lương Thượng</t>
  </si>
  <si>
    <t>Xã Trần Phú</t>
  </si>
  <si>
    <t>Duy tu, bảo dưỡng các tuyến đường giao thông nông thôn xã Trần Phú</t>
  </si>
  <si>
    <t>Xã Sơn Thành</t>
  </si>
  <si>
    <t>Duy tu, bảo dưỡng nhà họp thôn Nà Khon</t>
  </si>
  <si>
    <t>Duy tu, bảo dưỡng đường ống dẫn nước và mương Nà Đăng thôn Nà Khon</t>
  </si>
  <si>
    <t>Duy tu, bảo dưỡng đường bê tông Xưởng Cưa -Khuổi Luông</t>
  </si>
  <si>
    <t>Thị trấn Yến Lạc</t>
  </si>
  <si>
    <t>Duy tu, bảo dưỡng Nhà văn hóa Tổ nhân dân Bản Pò, thị trấn Yến Lạc</t>
  </si>
  <si>
    <t>Duy tu, bảo dưỡng Nhà văn hóa Tổ nhân dân Phố B, thị trấn Yến Lạc</t>
  </si>
  <si>
    <t>Duy tu, bảo dưỡng đường bê tông Cạm Bác - Hang Tiên, thôn Khuổi Nằn 1, thị trấn Yến Lạc</t>
  </si>
  <si>
    <t>Xã Xuân Dương</t>
  </si>
  <si>
    <t>Duy tu, bảo dưỡng cầu treo Nà Nhàng</t>
  </si>
  <si>
    <t>Duy tu, bảo dưỡng đường ngã ba Pác Tuồng đến cầu Nà Dăm</t>
  </si>
  <si>
    <t>Xã Cường Lợi</t>
  </si>
  <si>
    <t>Xã Kim Lư</t>
  </si>
  <si>
    <t>Duy tu sửa chữa đường Khum Mằn bãi rác</t>
  </si>
  <si>
    <t>Xã Cư Lễ</t>
  </si>
  <si>
    <t>Duy tu sửa chữa các công trình phụ trợ, chợ xã Cư Lễ</t>
  </si>
  <si>
    <t>UBND thị trấn Phủ Thông</t>
  </si>
  <si>
    <t xml:space="preserve">Duy tu bảo dưỡng đường thôn Khuổi Lừa </t>
  </si>
  <si>
    <t>UBND xã Sỹ Bình</t>
  </si>
  <si>
    <t>UBND xã Lục Bình</t>
  </si>
  <si>
    <t>Duy tu đường giao thông Pác Chang</t>
  </si>
  <si>
    <t>Duy tu đường giao thông Bản Piềng (300m từ cổng trường học đến cổng chào thôn Bản Piềng)</t>
  </si>
  <si>
    <t>UBND xã Nguyên Phúc</t>
  </si>
  <si>
    <t>Duy tu đường thôn Khuổi Bốc</t>
  </si>
  <si>
    <t>UBND xã Cao Sơn</t>
  </si>
  <si>
    <t>Biểu 04</t>
  </si>
  <si>
    <t>BIỂU CHI TIẾT DANH MỤC CÁC DỰ ÁN DUY TU, BẢO DƯỠNG THUỘC TIỂU DỰ ÁN 1, DỰ ÁN 4 THỰC HIỆN TỪ NGUỒN VỐN NĂM 2024 
THUỘC CHƯƠNG TRÌNH MỤC TIÊU QUỐC GIA PHÁT TRIỂN KT-XH VÙNG ĐỒNG BÀO DÂN TỘC THIỂU SỐ VÀ MIỀN NÚI</t>
  </si>
  <si>
    <t>Tên dự án duy tu, bảo dưỡng thuộc 
Tiểu dự án 1, Dự án 4  thực hiện từ nguồn vốn năm 2024</t>
  </si>
  <si>
    <t>Số kinh phí bố trí từ nguồn vốn năm 2024</t>
  </si>
  <si>
    <t>UBND xã Đại Sảo</t>
  </si>
  <si>
    <t>Sửa chữa đập Nà Luông (hạng mục sửa chữa, nâng cấp ống xi phông)</t>
  </si>
  <si>
    <t>Sửa chữa nâng cấp nguồn nước sạch tập trung nguồn Nà Đẻ, thôn Bản Sáo</t>
  </si>
  <si>
    <t>UBND xã Yên Phong</t>
  </si>
  <si>
    <t>Sửa chữa kênh Nà Tấc thôn Nà Tấc, xã Yên Phong huyện Chợ Đồn tỉnh Bắc Kạn</t>
  </si>
  <si>
    <t>UBND xã Tân Lập</t>
  </si>
  <si>
    <t>Đường nội thôn  Nà Lược, xã Tân Lập ( Hạng mục kè chân đường)</t>
  </si>
  <si>
    <t xml:space="preserve">Kênh mương Nà Lự, thôn Bản Chang, xã Tân Lập </t>
  </si>
  <si>
    <t>UBND xã Bình Trung</t>
  </si>
  <si>
    <t>Duy tu bảo dưỡng đập kênh Nà Phầy, xã Bình Trung</t>
  </si>
  <si>
    <t>UBND xã Bản Thi</t>
  </si>
  <si>
    <t>Duy tu nước sạch thôn Bản Nhài, xã Bản Thi, huyện Chợ Đồn, tỉnh Bắc Kạn</t>
  </si>
  <si>
    <t>Duy tu phai kênh mương Thâm Tầu, xã Bản Thi, huyện Chợ Đồn, tỉnh Bắc Kạn</t>
  </si>
  <si>
    <t>UBND xã Bằng Phúc</t>
  </si>
  <si>
    <t>Sửa chữa đường Bản Chang, xã Bằng Phúc</t>
  </si>
  <si>
    <t>UBND xã Xuân Lạc</t>
  </si>
  <si>
    <t>Duy tu, bảo dưỡng đường giao thông trục thôn Bản Ó</t>
  </si>
  <si>
    <t>Duy tu, bảo dưỡng đường giao thông trục thôn Bản Eng - Nà Dạ</t>
  </si>
  <si>
    <t>UBND xã Yên Mỹ</t>
  </si>
  <si>
    <t>Duy tu sửa chữa đường trục thôn Bản Lự</t>
  </si>
  <si>
    <t>Duy tu sửa chữa đường trục thôn Phiêng Dìa</t>
  </si>
  <si>
    <t>Duy tu sửa chữa đường trục thôn Bản Vọng</t>
  </si>
  <si>
    <t>UBND xã Bằng Lãng</t>
  </si>
  <si>
    <t>Sửa chữa đường Nà Trạo - Khu C, xã Bằng Lãng</t>
  </si>
  <si>
    <t>UBND xã Lương Bằng</t>
  </si>
  <si>
    <t>Duy tu bảo dưỡng tuyến đường từ ngã ba Tham Thẩu - Chợ Pác Be</t>
  </si>
  <si>
    <t>UBND xã Nam Cường</t>
  </si>
  <si>
    <t>Công trình duy tu sửa chữa đường Thôn Bản Quá, Bản Lồm, Lũng Noong</t>
  </si>
  <si>
    <t>UBND TT Bằng Lũng</t>
  </si>
  <si>
    <t>Duy tu bảo dưỡng tuyến mương từ cổng làng đến ngã ba Bản Duồng 2</t>
  </si>
  <si>
    <t>Duy tu đường nội thôn từ cổng làng nhà văn hóa thôn đến cổng lớp mẫu giáo cũ thôn Bản Tàn</t>
  </si>
  <si>
    <t>Duy tu mương cánh đồng Nà Kéo thôn Nà Pài</t>
  </si>
  <si>
    <t>UBND xã Quảng Bạch</t>
  </si>
  <si>
    <t>Sửa chữa rãnh thoát nước đường trục thôn Khuổi Vùa xã Quảng Bạch, huyện Chợ Đồn, tỉnh Bắc Kạn.</t>
  </si>
  <si>
    <t>UBND xã Yên Thịnh</t>
  </si>
  <si>
    <t>Sửa chữa đường trục thôn Khuổi Lịa</t>
  </si>
  <si>
    <t>UBND xã Nghĩa Tá</t>
  </si>
  <si>
    <t>Duy tu kè sạt lở đường Tông Khun, thôn Bản Bẳng, xã Nghĩa Tá</t>
  </si>
  <si>
    <t>UBND xã Đồng Thắng</t>
  </si>
  <si>
    <t>Công trình duy tu sửa chữa đường Nà Mèo, thôn Nà Mèo</t>
  </si>
  <si>
    <t>Nguồn vốn năm 2022, 2023 chuyển sang năm 2024</t>
  </si>
  <si>
    <t>Xã Mai Lạp</t>
  </si>
  <si>
    <t>DTBD: Kênh mương Tà Rày; Kênh mương Nà Phấy; Đập kênh Nà Mỵ</t>
  </si>
  <si>
    <t>Nguồn vốn năm 2024</t>
  </si>
  <si>
    <t>Xã Thanh Mai</t>
  </si>
  <si>
    <t>DTBD đường Roỏng Tùm-Khuổi Rẹt (đoạn từ đầu cầu Roỏng Tùm đến nhà ông Dương Văn Lược)</t>
  </si>
  <si>
    <t>Xã Quảng Chu</t>
  </si>
  <si>
    <t>Duy tu sửa chữa nhà văn hoá các thôn: Bản Đén 1, Nà Lằng, Cửa Khe, Đồng Luông, Đèo Vai 1, Đèo Vai 2, Làng Điền, Làng Chẽ, Bản Nhuần 1</t>
  </si>
  <si>
    <t>Duy tu sửa chữa chợ xã Mai Lạp</t>
  </si>
  <si>
    <t>Xã Yên Hân</t>
  </si>
  <si>
    <t>DTBD kênh mương phai Pác Có</t>
  </si>
  <si>
    <t>Xã Yên Cư</t>
  </si>
  <si>
    <t>Duy tu, bảo dưỡng và xây dụng hệ thống thoát nước đường trục xã (Đoạn qua thôn Phiêng Dường), xã Yên Cư</t>
  </si>
  <si>
    <t>Xã Tân Sơn</t>
  </si>
  <si>
    <t>DTBD: đường xuống phân trường Nặm Dất; đường giao thông trục thôn Bản Lù</t>
  </si>
  <si>
    <t>Xã Cao Kỳ</t>
  </si>
  <si>
    <t xml:space="preserve">DTBD đường trục thôn Chộc Toòng </t>
  </si>
  <si>
    <t xml:space="preserve">DTBD nhà văn hóa thôn Công Tum </t>
  </si>
  <si>
    <t>DTBD kênh mương thôn Nà Cà 1</t>
  </si>
  <si>
    <t>Xã Hòa Mục</t>
  </si>
  <si>
    <t>DTBD công trình: Đường Bản Giác - Tân Khang; đường Tân Khang - Mỏ Khang; đường Khuổi Nhàng</t>
  </si>
  <si>
    <t>Xã Thanh Vận</t>
  </si>
  <si>
    <t>DTBD đường ngõ xóm thôn Nà Đon (đoạn từ giáp đường tỉnh lộ 259 qua nhà bà Hoa)</t>
  </si>
  <si>
    <t>Xã Thanh Thịnh</t>
  </si>
  <si>
    <t>DTBD công trình đường giao thông, TL</t>
  </si>
  <si>
    <t>Xã Nông Hạ</t>
  </si>
  <si>
    <t>DTBD: Đường trục thôn Khe Thỉ I; đường trục thôn Khe Thỉ 2</t>
  </si>
  <si>
    <t>Xã Bình Văn</t>
  </si>
  <si>
    <t>DTBD kênh mương nội đồng thôn Tài Chang</t>
  </si>
  <si>
    <t>Xã Như Cố</t>
  </si>
  <si>
    <t>DTBD Nhà văn hóa thôn</t>
  </si>
  <si>
    <t>Duy tu bảo dưỡng kè kênh Phai xe thôn Nà Cha</t>
  </si>
  <si>
    <t xml:space="preserve">Duy tu công trình đường Hoàng Phài -Cốc Phia </t>
  </si>
  <si>
    <t xml:space="preserve">Duy tu bảo dưỡng Mương Nà cù </t>
  </si>
  <si>
    <t xml:space="preserve">Duy tu bảo dưỡng đập kênh Nà Sáng </t>
  </si>
  <si>
    <t>Duy tu bảo dưỡng đập kênh phai Piết</t>
  </si>
  <si>
    <t>Duy tu bảo dưỡng Đường liên thôn Khau Slao - Khau Phoòng - Pác Nạn - Khinh Héo (đoạn từ Pù Vào đến Nà Pia)</t>
  </si>
  <si>
    <t>Duy tu bảo dưỡng Đập kênh Tàng Phai</t>
  </si>
  <si>
    <t>Duy tu bảo dưỡng Đập kênh Nà Bả</t>
  </si>
  <si>
    <t>Duy tu sửa chữa nhà văn hóa thôn Bản Tặc</t>
  </si>
  <si>
    <t>Duy tu sửa chữa nhà văn hóa thôn Bản Đăm, thôn Năm Làng</t>
  </si>
  <si>
    <t>Xã Vân Tùng</t>
  </si>
  <si>
    <t>Duy tu bảo dưỡng công trình kênh Nà Quân</t>
  </si>
  <si>
    <t>Công trình: Kênh Nà pàn</t>
  </si>
  <si>
    <t>Duy tu bản dưỡng đường Bản băng- Khu chợ</t>
  </si>
  <si>
    <t>Duy tu đường sản xuất Khuổi ổn- Phiêng Pục</t>
  </si>
  <si>
    <t>Duy tu đường  vào khu sản xuất khu Bản Cấu - Cốc Duốc</t>
  </si>
  <si>
    <t>xã Trung Hòa</t>
  </si>
  <si>
    <t>Duy tu bảo dưỡng các hạng mục trạm y tế</t>
  </si>
  <si>
    <t>Duy tu bảo dưỡng Kênh Nà Luông</t>
  </si>
  <si>
    <t>Duy tu bảo dưỡng Kênh Nà Xỏm</t>
  </si>
  <si>
    <t>Duy tu đập kênh Nà Lím</t>
  </si>
  <si>
    <t>Sửa chữa đập kênh Phia Lỷ</t>
  </si>
  <si>
    <t>Kênh Nà Sào 1</t>
  </si>
  <si>
    <t>Đường Trục thôn Nà Đeng</t>
  </si>
  <si>
    <t>Duy tu bảo dưỡng Dường Phia Sào - Nà Mầm</t>
  </si>
  <si>
    <t>Duy tu bảo dưỡng đường Khuổi Tục - Đông Tạo</t>
  </si>
  <si>
    <t>Duy tu bảo dưỡng Đường 279-Khu dân cư Nặm Nầu, thôn Liên Kết</t>
  </si>
  <si>
    <t>Duy tu bảo dưỡng nước sinh hoạt khu dân cư Bản Cấu</t>
  </si>
  <si>
    <t>Thị Trấn Nà Phặc</t>
  </si>
  <si>
    <t>Duy tu bảo dưỡng đường vào UBND thị trấn Nà Phặc</t>
  </si>
  <si>
    <t>Duy tu bảo dưỡng đường vào khu sản xuất Khau Kẹt</t>
  </si>
  <si>
    <t>XUÂN DƯƠNG</t>
  </si>
  <si>
    <t>Duy tu, bảo dưỡng đường trục thôn Nà Chang - Nà Tuồng, xã Xuân Dương, huyện Na Rì</t>
  </si>
  <si>
    <t>CÔN MINH</t>
  </si>
  <si>
    <t>Duy tu bảo dưỡng đường liên thôn Áng Hin, xã Côn Minh, huyện Na Rì</t>
  </si>
  <si>
    <t>Sữa chữa nhà văn hóa thôn Nà Cằm, xã Côn Minh, huyện Na Rì</t>
  </si>
  <si>
    <t>Sữa chữa nhà văn hóa thôn Chè Cọ, xã Côn Minh, huyện Na Rì</t>
  </si>
  <si>
    <t>KIM LƯ</t>
  </si>
  <si>
    <t>Sửa chữa nhà văn hoá thôn Khum Mằn, xã Kim Lư, huyện Na Rì</t>
  </si>
  <si>
    <t>DƯƠNG SƠN</t>
  </si>
  <si>
    <t>Sửa chữa nhà văn hóa thôn Nà Phai, xã Dương Sơn, huyện Na Rì</t>
  </si>
  <si>
    <t>Sửa chữa nhà văn hóa thôn Nà Khoa, xã Dương Sơn, huyện Na Rì</t>
  </si>
  <si>
    <t>Sửa chữa nhà văn hóa thôn Nà Giàng, xã Dương Sơn, huyện Na Rì</t>
  </si>
  <si>
    <t>VĂN MINH</t>
  </si>
  <si>
    <t>Duy tu bảo dưỡng đường trục thôn Khuổi Liềng, xã Văn Minh, huyện Na Rì</t>
  </si>
  <si>
    <t>KIM HỶ</t>
  </si>
  <si>
    <t>Duy tu, bảo dưỡng các tuyến đường liên thôn, đường trục thôn, đường ngõ xóm xã Kim Hỷ, huyện Na Rì</t>
  </si>
  <si>
    <t>Duy tu, bảo dưỡng các tuyến kênh mương trên địa bàn xã Km Hỷ, huyện Na Rì</t>
  </si>
  <si>
    <t>CƯ LỄ</t>
  </si>
  <si>
    <t>Duy tu bảo dưỡng đường Khuổi Choóc, thôn Pò Pái, xã Cư Lễ, huyện Na Rì</t>
  </si>
  <si>
    <t>Duy tu bảo dưỡng đường Khau Pần- Cạm Miầu, xã Cư Lễ, huyện Na Rì</t>
  </si>
  <si>
    <t>LƯƠNG THƯỢNG</t>
  </si>
  <si>
    <t>Duy tu sửa chữa bảo dưỡng Công trình cấp nước sinh hoạt khu tái định cư Khuổi Có, xã Lương Thượng, huyện Na Rì</t>
  </si>
  <si>
    <t>Duy tu sửa chữa bảo dưỡng Công trình cấp nước sinh hoạt Pác Pạng, xã Lương Thượng, huyện Na Rì</t>
  </si>
  <si>
    <t>Duy tu sửa chữa bảo Công trình cấp nước sinh hoạt suối Khuổi Nộc, xã Lương Thượng, huyện Na Rì</t>
  </si>
  <si>
    <t>VĂN LANG</t>
  </si>
  <si>
    <t>Duy tu sửa chữa đường trục thôn Bản Sảng, xã Văn Lang, huyện Na Rì</t>
  </si>
  <si>
    <t>SƠN THÀNH</t>
  </si>
  <si>
    <t>Duy tu bảo dưỡng các tuyến đường liên thôn, trục thôn trên địa bàn xã Sơn Thành, huyện Na Rì</t>
  </si>
  <si>
    <t>VĂN VŨ</t>
  </si>
  <si>
    <t>Sửa chữa công trình nước sinh hoạt tập trung Cốc Bó - trụ sở UBND xã Văn Học cũ, huyện Na Rì</t>
  </si>
  <si>
    <t>TRẦN PHÚ</t>
  </si>
  <si>
    <t>Duy tu bảo dưỡng đường liên thôn Khau Moóc - Nà Noong, xã Trần Phú, huyện Na Rì</t>
  </si>
  <si>
    <t>Sữa chữa nhà văn hóa thôn Nà Mển và thôn Nà Mới, xã Trần Phú, huyện Na Rì</t>
  </si>
  <si>
    <t>CƯỜNG LỢI</t>
  </si>
  <si>
    <t>Duy tu bảo dưỡng đường vào khu sản xuất Rọ Dắm thôn Nặm Dắm, xã Cường lợi, huyện Na Rì</t>
  </si>
  <si>
    <t>Duy tu, bảo dưỡng kênh mương Nà Chúa thôn Nà Tát, xã Cường lợi, huyện Na Rì</t>
  </si>
  <si>
    <t>Duy tu, bảo dưỡng đường ngõ xóm Nà Sang, xã Cường Lợi, huyện Na Rì</t>
  </si>
  <si>
    <t>LIÊM THUỶ</t>
  </si>
  <si>
    <t>Duy tu bảo dưỡng Đường UBND xã - Bản Cải, xã Liêm Thủy, huyện Na Rì</t>
  </si>
  <si>
    <t>ĐỔNG XÁ</t>
  </si>
  <si>
    <t>Duy tu, bảo dưỡng đường Nà Thác - Lũng Tao, xã Đổng Xá, huyện Na Rì</t>
  </si>
  <si>
    <t>Duy tu, bảo dưỡng đường Chợ Chùa - Nà Vạng, xã Đổng Xá, huyện Na Rì</t>
  </si>
  <si>
    <t>QUANG PHONG</t>
  </si>
  <si>
    <t>Duy tu, bảo dưỡng các tuyến đường trục thôn, liên thôn trên địa bàn xã Quang Phong, huyện Na Rì</t>
  </si>
  <si>
    <t>THỊ TRẤN YẾN LẠC</t>
  </si>
  <si>
    <t>Duy tu, bảo dưỡng đường bê tông Bản Pò, thị trấn Yến Lạc, huyện Na Rì</t>
  </si>
  <si>
    <t>Duy tu, bảo dưỡng Nhà văn hóa tổ nhân dân Phố B, thị trấn Yến Lạc, huyện Na Rì</t>
  </si>
  <si>
    <t>Duy tu, bảo dưỡng đường bê tông thôn Khuổi Nằn 1, thị trấn Yến Lạc, huyện Na Rì</t>
  </si>
  <si>
    <t>Nguồn chuyển nguồn năm 2023 sang 2024</t>
  </si>
  <si>
    <t>Đường giao thông thôn Nà Nghịu</t>
  </si>
  <si>
    <t>Đường giao thông thôn Bản Piềng</t>
  </si>
  <si>
    <t>Sửa chữa đường nội thôn Quăn</t>
  </si>
  <si>
    <t>Sửa chữa đường nội thôn Nà Lốc</t>
  </si>
  <si>
    <t>UBND xã Đôn Phong</t>
  </si>
  <si>
    <t>Duy tu bảo dưỡng đường Vằng Bó - Nà Lồm</t>
  </si>
  <si>
    <t>UBND TT Phủ Thông</t>
  </si>
  <si>
    <t>Duy tu bảo dưỡng đường thôn Khuổi Chả</t>
  </si>
  <si>
    <t>UBND xã Tân Tú</t>
  </si>
  <si>
    <t>Duy tu, bảo dưỡng mương thoát nước Quan Làng (Đoạn nhà ông Dũng; ông Hưởng)</t>
  </si>
  <si>
    <t>Duy tu sửa chữa kè đường nội thôn Cốc Bây (Đoạn dưới nhà ông Kiềm đến nhà bà Trang)</t>
  </si>
  <si>
    <t>Sửa chữa nước sinh hoạt thôn Khuổi Đẳng, thôn Pù Cà</t>
  </si>
  <si>
    <t>Sửa chữa nước sinh thôn 1B và thôn 2 Khau Cưởm</t>
  </si>
  <si>
    <t>Đập kênh mương thôn Nà Cáy</t>
  </si>
  <si>
    <t>Sửa chữa nhà văn hóa thôn Thôm Phụ</t>
  </si>
  <si>
    <t>UBND xã Mỹ Thanh</t>
  </si>
  <si>
    <t>Sửa chữa nước sinh hoạt thôn Cây Thị</t>
  </si>
  <si>
    <t>Duy tu, bảo dưỡng đường 2 bên cầu treo thôn Phiêng Kham</t>
  </si>
  <si>
    <t>UBND xã Vi Hương</t>
  </si>
  <si>
    <t>Duy tu, bảo dưỡng đường Nà Han - Địa Cát</t>
  </si>
  <si>
    <t>Duy tu, bảo dưỡng đường Tà Ỏ - Nà Lộc</t>
  </si>
  <si>
    <t>Ban QLDA Đầu tư và Xây dựng huyện</t>
  </si>
  <si>
    <t>Sữa chữa Trạm Y tế xã Nguyên Phúc</t>
  </si>
  <si>
    <t>Biểu 05</t>
  </si>
  <si>
    <t>BIỂU CHI TIẾT NỘI DUNG THỰC HIỆN CỦA CÁC DỰ ÁN ĐỀ XUẤT ĐIỀU CHỈNH TĂNG VỐN
CHƯƠNG TRÌNH MTQG GIẢM NGHÈO BỀN VỮNG</t>
  </si>
  <si>
    <t>Biểu 06</t>
  </si>
  <si>
    <t>BIỂU CHI TIẾT DANH MỤC CÁC DỰ ÁN HỖ TRỢ PHÁT TRIỂN SẢN XUẤT THUỘC DỰ ÁN 2 VÀ TIỂU DỰ ÁN 1, DỰ ÁN 3 SỬ DỤNG NGUỒN KINH PHÍ ĐIỀU CHỈNH TĂNG 
THUỘC CHƯƠNG TRÌNH MỤC TIÊU QUỐC GIA GIẢM NGHÈO BỀN VỮNG</t>
  </si>
  <si>
    <t>Tên dự án hỗ trợ phát triển sản xuất thuộc 
Dự án 2 và Tiểu dự án 1, Dự án 3</t>
  </si>
  <si>
    <t>Tiểu dự án 1, Dự án 3</t>
  </si>
  <si>
    <t>Hiện nay trên địa bàn huyện mở 37 lớp xóa mù chữ với 858 học viên; năm 2024, UBND huyện phân bổ cho Phòng Giáo dục và Đào tạo, Trung tâm học tập công đồng các xã 3.659 triệu đồng để mua sắm trang thiết bị cho các Trường học và tài liệu, học phẩm cho giáo viên và học viên các lớp xóa mù chữ; đề nghị điều chỉnh tăng 816 triệu đồng để thực hiện công tác xóa mù chữ</t>
  </si>
  <si>
    <t>Qua rà soát trên địa bàn huyện còn nhiều Nhà văn hóa chưa có thiết chế văn hóa; năm 2024, UBND huyện phân bổ cho Phòng Văn hóa và Thông tin 495 triệu đồng để thực hiện mua sắm thiết chế cho 16 Nhà văn hóa thôn, căn cứ nhu cầu của các thôn đề nghị điều chỉnh tăng kinh phí 414 triệu đồng để thực hiện mua sắm thiết chế văn hóa cho 30  nhà văn hóa thôn</t>
  </si>
  <si>
    <t>Đề xuất điều chỉnh tăng kinh phí cho Công an huyện thực hiện tuyên truyền các nội dung chính sách, pháp luật về hình sự, dân sự, an ninh, giao thông…</t>
  </si>
  <si>
    <t>Xã Bộc Bố</t>
  </si>
  <si>
    <t>Dự án liên kết sản xuất gắn với tiêu thụ sản phẩm chăn nuôi Bò sinh sản</t>
  </si>
  <si>
    <t>Dự án liên kết sản xuất gắn với tiêu thụ sản phẩm chăn nuôi Ngựa thương phẩm</t>
  </si>
  <si>
    <t>Dự án phát triển sản xuất cộng đồng chăn nuôi dê thương phẩm</t>
  </si>
  <si>
    <t>Xã Xuân La</t>
  </si>
  <si>
    <t>Dự án liên kết sản xuất gắn với tiêu thụ sản phẩm chăn nuôi Lợn thịt bản địa</t>
  </si>
  <si>
    <t>Xã Nghiên Loan</t>
  </si>
  <si>
    <t>Dự án liên kết sản xuất gắn với tiêu thụ sản phẩm chăn nuôi Trâu sinh sản</t>
  </si>
  <si>
    <t>Dự án phát triển sản xuất cộng đồng chăn nuôi vỗ béo trâu bò</t>
  </si>
  <si>
    <t>Xã Nhạn Môn</t>
  </si>
  <si>
    <t>Xã Giáo Hiệu</t>
  </si>
  <si>
    <t>Dự án liên kết sản xuất gắn với tiêu thụ sản phẩm bí xanh, mướp đắng rừng và nghệ trên địa bàn huyện Pác Nặm (Kinh phí thực hiện chu kỳ thứ 3)</t>
  </si>
  <si>
    <t>Dự án phát triển sản xuất cộng đồng chăn nuôi Vịt cổ xanh</t>
  </si>
  <si>
    <t>Dự án phát triển sản xuất cộng đồng trồng cây Khôi nhung tía</t>
  </si>
  <si>
    <t>Xã An Thắng</t>
  </si>
  <si>
    <t>Dự án phát triển sản xuất cộng đồng chăn nuôi ong mật</t>
  </si>
  <si>
    <t>Dự án  phát triển sản xuất cộng đồng chăn nuôi Trâu sinh sản</t>
  </si>
  <si>
    <t>Xã Cổ Linh</t>
  </si>
  <si>
    <t>Dự án phát triển sản xuất cộng đồng trồng cây củ cải trắng</t>
  </si>
  <si>
    <t>Dự án phát triển sản xuất cộng đồng trồng cây dâu tây</t>
  </si>
  <si>
    <t>Xã Cao Tân</t>
  </si>
  <si>
    <t>Dự án phát triển sản xuất cộng đồng trồng cây ngô ngọt vụ đông</t>
  </si>
  <si>
    <t>Duy tu, sửa chữa Trường mầm non xã Bộc Bố (trường chính)</t>
  </si>
  <si>
    <t>Duy tu, sửa chữa trường Tiểu học Bộc Bố (trường chính, các điểm trường tiểu học)</t>
  </si>
  <si>
    <t>Duy tu sửa chữa đường Cọn Luông</t>
  </si>
  <si>
    <t>Sửa chữa PTDTBT THCS Xuân La (Nhà lớp học 02 tầng, nhà ở bán trú và nhà vệ sinh)</t>
  </si>
  <si>
    <t>Duy tu, sửa chữa trường Tiểu học Xuân La (trường chính; các điểm trường)</t>
  </si>
  <si>
    <t>Duy tu, sửa chữa trạm y tế xã Nghiên Loan</t>
  </si>
  <si>
    <t>Duy tu, sửa chữa đường Khuổi ún - Phja Đeng</t>
  </si>
  <si>
    <t>Duy tu, sửa chữa đường Nà Mu - Khuổi Làng</t>
  </si>
  <si>
    <t>Duy tu, sửa chữa trường PTDTBT TH&amp;THCS An Thắng (trường chính, các điểm trường)</t>
  </si>
  <si>
    <t>Xã Bằng Thành</t>
  </si>
  <si>
    <t>Duy tu, bảo dưỡng đường Khuổi Sưn - Cốc Pục</t>
  </si>
  <si>
    <t>Sửa chữa Nhà bếp, nhà vệ sinh trường Tiểu học Bằng Thành I</t>
  </si>
  <si>
    <t>Duy tu, sửa chữa đường Kéo Tao - Lủng Chẻ</t>
  </si>
  <si>
    <t>Sửa chữa tường rào Nhà Văn hóa thôn Khuổi ỏ</t>
  </si>
  <si>
    <t>Duy tu, sửa chữa đập đường ống khu định canh định cư Lẻo luông</t>
  </si>
  <si>
    <t>Duy tu, sửa chữa đập, kênh Nà Bẻ, xã Nhạn Môn</t>
  </si>
  <si>
    <t>Duy tu, sửa chữa đường 258B - Nà Hin đi Khâu Slôm</t>
  </si>
  <si>
    <t>Xã Công Bằng</t>
  </si>
  <si>
    <t>Duy tu, sửa chữa Mầm non Công Bằng</t>
  </si>
  <si>
    <t>Duy tu, sửa chữa nhà văn hóa xã Công Bằng</t>
  </si>
  <si>
    <t>Duy tu, sửa chữa Tiểu học Cổ Linh (trường chính; các điểm trường tiểu học)</t>
  </si>
  <si>
    <t>Duy tu, sửa chữa nước sinh hoạt tập trung Bản Cảm</t>
  </si>
  <si>
    <t>Duy tu, bảo dưỡng đường Lủng Nghè</t>
  </si>
  <si>
    <t>Duy tu, bảo dưỡng đường Nà Cà - Bản Cảm</t>
  </si>
  <si>
    <t xml:space="preserve">Duy tu, sửa chữa đường Đuông Nưa - Nà Slia </t>
  </si>
  <si>
    <t>Duy tu, sửa chữa đập, kênh Nà Nạn xã Cao Tân</t>
  </si>
  <si>
    <t>Trường PTDT Nội trú THCS Pác Nặm</t>
  </si>
  <si>
    <t>Sửa chữa Nhà lớp học 03 tầng, Nhà ở ký túc xá học sinh: Sửa chữa nhà vệ sinh, cải tạo lớp học, sơn lại tường, các của sổ, cửa chính</t>
  </si>
  <si>
    <t>Sửa chữa trường Mầm non Nhạn Môn (Điểm trường Khuổi Ỏ,  Điểm trường Phiêng Tạc; Điểm trường Ngảm Váng)</t>
  </si>
  <si>
    <t>Duy tu, sửa chữa Mầm non Cổ Linh (trường chính, các điểm trường mầm non)</t>
  </si>
  <si>
    <t>Duy tu, sửa chữa trường mầm non Cao Tân (trường chính, các Điểm trường mầm non)</t>
  </si>
  <si>
    <t>Duy tu, sửa chữa các điểm Trường mầm non xã Bộc Bố</t>
  </si>
  <si>
    <t>Duy tu đường vào UBND xã</t>
  </si>
  <si>
    <t>Sửa chữa Nhà văn hóa thôn Phia Đeng</t>
  </si>
  <si>
    <t>Sửa chữa đường Phia Đeng - Nà Phai</t>
  </si>
  <si>
    <t>Duy tu sửa chữa đường An Thắng - Tiến Bộ</t>
  </si>
  <si>
    <t>Sửa chữa công trình nước sạch thôn Pác Nặm</t>
  </si>
  <si>
    <t>Sửa chữa đập mương Phiêng Tạc</t>
  </si>
  <si>
    <t>Sửa chữa cửa thu đường ống nước khu tái định cư</t>
  </si>
  <si>
    <t>Duy tu đường Pác Lọn - Nà Thuôn (Thôn Cốc Lào)</t>
  </si>
  <si>
    <t>Sửa chữa Nhà văn hóa xã</t>
  </si>
  <si>
    <t xml:space="preserve">Duy tu sửa chữa công trình nước sinh hoạt tập trung thôn Nà Pùng </t>
  </si>
  <si>
    <t>Duy tu đường Nà Slia - Mạ Khao</t>
  </si>
  <si>
    <t>K</t>
  </si>
  <si>
    <t>Kinh phí chuyển nguồn tại đơn vị, không còn nhu cầu thực hiện</t>
  </si>
  <si>
    <t>Kinh phí giao cho đơn vị năm 2024, qua rà soát nhu cầu thực hiện không hết, đề nghị điều chỉnh</t>
  </si>
  <si>
    <t>Nguồn kinh phí năm 2022,2023 chuyển sang năm 2024</t>
  </si>
  <si>
    <t>Kinh phí giao Hội LHPN huyện và UBND các xã
 nên đơn vị Hội LHPN huyện đề nghị điều chỉnh một phần của Dự án 8 sang Tiểu Dự án 3 của Dự án 10 để thực hiện việc kiểm tra, giám sát tại các địa phương</t>
  </si>
  <si>
    <t>Xã Chu Hương</t>
  </si>
  <si>
    <t>Dự án trồng mới, chăm sóc, thâm canh cây chè</t>
  </si>
  <si>
    <t>UBND xã Bành Trạch</t>
  </si>
  <si>
    <t xml:space="preserve">Duy tu, bảo dường đường từ quốc lộ 279 đến thôn Nà Nộc </t>
  </si>
  <si>
    <t>UBND xã Chu Hương</t>
  </si>
  <si>
    <t>Sửa chữa mương Lũng Miều</t>
  </si>
  <si>
    <t>Sửa chữa Đường Nà Nao- Khuổi Coóng</t>
  </si>
  <si>
    <t>Sửa chữa đường Bản Trù- Nà Đông</t>
  </si>
  <si>
    <t>Sửa chữa trường Mầm non</t>
  </si>
  <si>
    <t>Sửa chữa đập mương Nà Đon</t>
  </si>
  <si>
    <t>Sửa chữa đường Nà Nao - Khuổi Coóng</t>
  </si>
  <si>
    <t>UBND xã Đồng Phúc</t>
  </si>
  <si>
    <t>Sửa chữa nhà công vụ, nhà lớp học trường THCS xã Đồng Phúc</t>
  </si>
  <si>
    <t>Sửa chữa trường Tiểu học xã Đồng Phúc</t>
  </si>
  <si>
    <t>Sửa chữa mương Tà Lòong thôn Nà Thẩu</t>
  </si>
  <si>
    <t>Sửa chữa mương Nà Lọc thôn Nà Khâu</t>
  </si>
  <si>
    <t>Sửa chữa mương Nà Thín thôn Khưa Quang</t>
  </si>
  <si>
    <t>UBND xã Hoàng Trĩ</t>
  </si>
  <si>
    <t>Duy tu, bảo dưỡng đường nội thôn Nà Lườn, xã Hoàng Trĩ</t>
  </si>
  <si>
    <t>Duy tu, bảo dưỡng tiếp đoạn đường Trụ sở - Bản Duống, Nà Diếu, xã Hoàng Trĩ</t>
  </si>
  <si>
    <t>UBND xã Khang Ninh</t>
  </si>
  <si>
    <t>Duy tu, Bảo dưỡng đường nội thôn Củm Pán (tiếp đoạn nguồn vốn năm 2023)</t>
  </si>
  <si>
    <t>Duy tu, Bảo dưỡng đường nội thôn Nà Hàn</t>
  </si>
  <si>
    <t>Duy tu, Bảo dưỡng đường nội thôn Pác Nghè</t>
  </si>
  <si>
    <t>Duy tu, Bảo dưỡng đường liên thôn Nà Kiêng - Nà Mơ - Nà Cọ - Nà Niềng</t>
  </si>
  <si>
    <t>Sửa chữa mái tôn nhà lớp học trường Tiểu học xã Khang Ninh (Trường Chính)</t>
  </si>
  <si>
    <t>Duy tu, bảo dưỡng đường nội thôn Nà Làng</t>
  </si>
  <si>
    <t>Duy tu, bảo đường Khuổi Phủng, thôn Nà Mằm</t>
  </si>
  <si>
    <t>Cải tạo, nâng cấp nhà văn hoá thôn Pác Nghè</t>
  </si>
  <si>
    <t>UBND xã Mỹ Phương</t>
  </si>
  <si>
    <t>Duy tu, bảo dưỡng đường 258 - Cổng trường Trung học cơ sở xã Mỹ Phương</t>
  </si>
  <si>
    <t>Duy tu, bảo dưỡng đường liên thôn 258 - Nà Cà (Đoạn nối tiếp), xã Mỹ Phương</t>
  </si>
  <si>
    <t>UBND xã Yến Dương</t>
  </si>
  <si>
    <t>Duy tu bảo dưỡng công trình đường Nà Nghè - Nà Pài đoạn Pù Xả thôn Nà Pài.</t>
  </si>
  <si>
    <t xml:space="preserve">Duy tu bảo dưỡng đường Bản Lạ - Phiêng Khăm </t>
  </si>
  <si>
    <t>Duy tu bảo dưỡng công trình đập mương nà tâm thôn Bản Lạ.</t>
  </si>
  <si>
    <t>Duy tu bảo dưỡng công trình đường Nà Nghè - Nà Giảo (Đoạn Nà chúa thôn Nà Giảo)</t>
  </si>
  <si>
    <t>UBND xã Thượng Giáo</t>
  </si>
  <si>
    <t>Duy tu đường nội thôn Nà Hán</t>
  </si>
  <si>
    <t>Duy tu, Bảo dưỡng đường nội thôn Pác Phai</t>
  </si>
  <si>
    <t>Duy tu, Bảo dưỡng đường nội thôn Nà Săm</t>
  </si>
  <si>
    <t>Duy tu, sửa chữa trạm y tế Thượng Giáo cũ thành điểm trường mầm non Thượng Giáo</t>
  </si>
  <si>
    <t>Duy tu đường nội thôn Phiêng Chì</t>
  </si>
  <si>
    <t>Duy tu đường nội thôn Dài Khao</t>
  </si>
  <si>
    <t>Duy tu đường nội thôn Nà Khuổi</t>
  </si>
  <si>
    <t>UBND xã Phúc Lộc</t>
  </si>
  <si>
    <t>Sửa chữa kè đoạn đường Nà Luông thuộc tuyến đường Thiêng Điểm - Nà Khao</t>
  </si>
  <si>
    <t>Sửa chữa, xây rãnh thoát nước chống xói lở tuyến đường Nà Ma - Phiêng Chỉ</t>
  </si>
  <si>
    <t>Sửa chữa kênh mương Nà Ma (đoạn tiếp nguồn vốn năm 2023)</t>
  </si>
  <si>
    <t>Duy tu, bảo dưỡng cầu treo thôn Pàn Han</t>
  </si>
  <si>
    <t>Duy tu, bảo dưỡng cầu treo thôn Pác Pỉn</t>
  </si>
  <si>
    <t>Sửa chữa đường Nà Nao- Khuổi coóng (địa phận thôn khuổi coóng)</t>
  </si>
  <si>
    <t>Sửa chữa nước sạch thôn Phiêng Kèm</t>
  </si>
  <si>
    <t>UBND xã Quảng Khê</t>
  </si>
  <si>
    <t>3.1</t>
  </si>
  <si>
    <t>Duy tu bảo dường cầu treo thôn Bản Pjàn, xã Quảng Khê</t>
  </si>
  <si>
    <t>UBND xã  Đồng Phúc</t>
  </si>
  <si>
    <t>Sửa chữa các nhà văn hóa thôn ( Nà Khâu, Tẩn Lượt, Nà Thẩu ) xã Đồng Phúc</t>
  </si>
  <si>
    <t>Duy tu, bảo dưỡng đường nội thôn Nà Lườn</t>
  </si>
  <si>
    <t>Duy tu, bảo dưỡng đường liên thôn ĐT258-Nà Cà</t>
  </si>
  <si>
    <t>Sửa chữa mương thoát nước và mặt đường tuyến đường Thiêng Điểm- Nà Khao</t>
  </si>
  <si>
    <t xml:space="preserve">Duy tu bảo dưỡng đường Nà Viến - Bản Lạ, xã Yến Dương </t>
  </si>
  <si>
    <t>UBND xã Cao Thượng</t>
  </si>
  <si>
    <t>Sửa chữa đường Tọt Còn, xã Cao Thượng, huyện Ba Bể, tỉnh Bắc Kạn</t>
  </si>
  <si>
    <t>UBND xã Nam Mẫu</t>
  </si>
  <si>
    <t>Duy tu đường bê tông nội thôn Bản Cám</t>
  </si>
  <si>
    <t>Cải tạo, nâng cấp đường liên thôn Khuổi Slưn - Pác Phai - Nà Săm</t>
  </si>
  <si>
    <t>UBND xã Địa Linh</t>
  </si>
  <si>
    <t>Duy tu bảo dưỡn đường cốc pái- Tiền phong</t>
  </si>
  <si>
    <t>UBND xã Hà Hiệu</t>
  </si>
  <si>
    <t>Đường Bản Mới - Đông Đăm</t>
  </si>
  <si>
    <t xml:space="preserve">Đường Thôm Lạnh - Lủng Tráng </t>
  </si>
  <si>
    <t>Đường Nà Vài - Nà Dài</t>
  </si>
  <si>
    <t>Duy tu, bảo dưỡng đường nội thôn Nà Niềng, xã Khang Ninh</t>
  </si>
  <si>
    <t>Biểu 07</t>
  </si>
  <si>
    <t>Biểu 08</t>
  </si>
  <si>
    <t>Biểu 09</t>
  </si>
  <si>
    <t>Nhu cầu đăng ký  đào tạo nâng cao năng lực không nhiều; Sau khi xây dựng dự toán thực hiện các nội dung năm 2024, phần kinh phí còn dư năm trước không còn nội dung thực hiện.</t>
  </si>
  <si>
    <t>Sự nghiệp văn hoá thông tin</t>
  </si>
  <si>
    <t>Sau khi xây dựng dự toán thực hiện các nội dung năm 2024, phần kinh phí còn dư năm trước không còn nội dung thực hiện</t>
  </si>
  <si>
    <t>Đã hoàn thành nhiệm vụ chi theo kế hoạch năm nên không thực hiện đến nguồn kinh phí năm trước chuyển sang</t>
  </si>
  <si>
    <t xml:space="preserve">Duy tu bảo dưỡng đường thôn Khuổi Chàm </t>
  </si>
  <si>
    <t>Sửa chữa đường liên thôn 1B Khau Cưởm đi 1A Nà Loạn</t>
  </si>
  <si>
    <t>Sửa chữa nước sinh hoạt thôn 1A Nà Loạn</t>
  </si>
  <si>
    <t>Sửa chữa nước sinh hoạt thôn Nà Phja</t>
  </si>
  <si>
    <t>Sửa chữa NVH thôn Khuổi Bốc</t>
  </si>
  <si>
    <t>Duy tu bảo dưỡng đường liên thôn Pác Thiên - Nà Lốc</t>
  </si>
  <si>
    <t>Sửa chữa NVH thôn Pác Thiên</t>
  </si>
  <si>
    <t>Sửa chữa NVH thôn Nà Lốc</t>
  </si>
  <si>
    <t>Duy tu sửa chữa đường nước sinh hoạt thôn Nam Yên</t>
  </si>
  <si>
    <t>Duy tu đường ống dẫn nước tưới cho cánh đồng thôm phụ Khau Cà</t>
  </si>
  <si>
    <t>Sửa chữa NVH thôn Khau Cà</t>
  </si>
  <si>
    <t>Duy tu bảo dưỡng mương Vằng Bó</t>
  </si>
  <si>
    <t>Duy tu bảo dưỡng kè đường trục thôn Nà Xe</t>
  </si>
  <si>
    <t>Duy tu, bảo dưỡng kè đường nội đồng Quan Làng</t>
  </si>
  <si>
    <t>Duy tu, sửa chữa kè đường nội thôn Cốc Bây (Đoạn sau nhà ông Kinh)</t>
  </si>
  <si>
    <t>Duy tu bảo dưỡng đường Nà Ít - Bó Lịn</t>
  </si>
  <si>
    <t>UBND xã Vũ Muộn</t>
  </si>
  <si>
    <t>Duy tu bảo dưỡng đường trục thôn Khuổi Khoang</t>
  </si>
  <si>
    <t>Do học viên không đăng ký tham gia lớp bồi dưỡng đúng số lượng theo kế hoạch đề ra. Một số cá nhân không có nhu cầu bồi dưỡng.</t>
  </si>
  <si>
    <t>Sự nghiệp kinh tế, Sự nghiệp bảo đảm xã hội</t>
  </si>
  <si>
    <t>Sự nghiệp đảm bảo xã hội; Sự nghiệp kinh tế</t>
  </si>
  <si>
    <t>Số kinh phí đề xuất điều chỉnh giảm</t>
  </si>
  <si>
    <t>Số kinh phí dư còn lại tại các địa phương không đề xuất điều chỉnh</t>
  </si>
  <si>
    <t>7=3-6</t>
  </si>
  <si>
    <t>Tiểu dự án gồm 5 nội dung chi, tuy nhiên các đơn vị chủ yếu thực hiện nội dung hỗ trợ khoán bảo vệ rừng, còn lại các nội dung khác không thực hiện do các đơn vị không có diện tích để trồng mới; nội dung hỗ trợ gạo không có đối tượng được hưởng theo hướng dẫn; đơn vị thiết kế nhiều đơn vị dẫn đến chậm thời gian triển khai</t>
  </si>
  <si>
    <t>Dự án 5: Hỗ trợ nhà ở cho hộ nghèo, hộ cận nghèo trên địa bàn huyện nghèo</t>
  </si>
  <si>
    <t xml:space="preserve">Sau khi rà soát nhu cầu thực tế số lượng hộ dân đăng ký  nhu cầu hỗ trợ nhà ở theo đề án thấp, hơn nữa số kinh phí được phân bổ lớn hơn so với thực tế, dẫn đến kinh phí còn dư </t>
  </si>
  <si>
    <t>Tiểu dự án 1: giảm nghèo về thông tin</t>
  </si>
  <si>
    <t>Đề xuất điều chỉnh kinh phí còn dư 2.545.415.824  đồng để tiếp tục thực hiện trong năm 2024</t>
  </si>
  <si>
    <t>Đối tượng trẻ em dưới 16 tuổi thuộc hộ nghèo, hộ cận nghèo, hộ mới thoát nghèo tại các xã, thị trấn ít, có những thôn bản chỉ có 1 đến 2 trẻ nên gặp khó khăn trong việc truyền thông, tư vấn và hoạt động can thiệp cho đối tượng, kết quả điều tra khảo sát toàn huyện năm 2023 tỷ lệ suy dinh dưỡng trẻ từ 5 đến dưới 16 tuổi thuộc hộ nghèo, cận nghèo, mới thoát nghèo thấp. Do đó không có đối tượng thực hiện nên không thể giải ngân hết kinh phí được giao.</t>
  </si>
  <si>
    <t>Hỗ trợ đào tạo nghề cho người lao động thuộc hộ nghèo, hộ cận nghèo, hộ mới thoát nghèo, người lao động có thu nhập thấp</t>
  </si>
  <si>
    <t>Hỗ trợ đào tạo nghề cho người lao động thuộc hộ nghèo, hộ cận nghèo, hộ mới thoát nghèo; người có thu nhập thấp</t>
  </si>
  <si>
    <t>Đề xuất điều chỉnh kinh phí còn dư 475.883.050 đồng để tiếp tục thực hiện trong năm 2024</t>
  </si>
  <si>
    <t xml:space="preserve">Huyện Pác Nặm </t>
  </si>
  <si>
    <t>Đề xuất điều chỉnh kinh phí còn dư 6.510.569.877 đồng để tiếp tục thực hiện trong năm 2024</t>
  </si>
  <si>
    <t>Dự án 2 : Đa dạng hoá sinh kế Phát triển mô hình giảm nghèo ( Phát triển  sản xuất CĐ)</t>
  </si>
  <si>
    <t>Dự án 4: Phát triển giáo dục nghề nghiệp, việc làm bền vững.</t>
  </si>
  <si>
    <t xml:space="preserve"> Tiểu dự án 1: Phát triển giáo dục nghề nghiệp vùng nghèo, vùng khó khăn</t>
  </si>
  <si>
    <t>Hỗ trợ đào tạo nghề cho người lao động thuộc hộ nghèo, hộ cận nghèo, hộ mới thoát nghèo, người lao động sinh sống trên địa bàn huyện nghèo</t>
  </si>
  <si>
    <t>Dự án 3: Hỗ trợ phát triển sản xuất cải thiện dinh dưỡng .</t>
  </si>
  <si>
    <t>Tiều dự án 1: hỗ trợ phát triển sản xuất trong nông nghiệp</t>
  </si>
  <si>
    <t>Hỗ trợ cơ sở giáo dục nghề nghiệp công lập</t>
  </si>
  <si>
    <t>Theo Công văn số 1282/TCGDNN-KHTC ngày 29/6/2023 của Tổng cục Giáo dục nghề nghiệp về việc Hỗ trợ đầu tư cơ sở vật chất, thiết bị, phương tiện đào tạo cho các Trung tâm GDNN-GDTX. Theo quy định tại khoản 1 Điều 5 Luật giáo dục nghề nghiệp và khoản 1 Điều 44 Luật Giáo dục thì Trung tâm GDNN-GDTX cấp huyện không phải là cơ sở giáo dục nghề nghiệp nên không thuộc đối tượng được hỗ trợ sửa chữa, bảo dưỡng tài sản, một số hạng mục công trình, mua sắm máy móc trang thiết bị, phương tiện đào tạo từ nguồn vốn của các nội dung về giáo dục nghề nghiệp thuộc 03 chương trình mục tiêu quốc gia giai đoạn 2021-2025. Đến ngày 4/10 Chỉnh phủ có Nghị quyết số 164/NQ – CP cho chủ trương nâng cao năng lực cho  TT GDNN&amp;GDTX thuộc huyện nghèodo đó ảnh hưởng đến tiến độ thực hiện hết nhiệm vụ chi kinh phí còn dư</t>
  </si>
  <si>
    <t>Dự án 7: Nâng cao năng lực và giám sát, đánh giá chương trình</t>
  </si>
  <si>
    <t>Thu hồi do chi sai</t>
  </si>
  <si>
    <t xml:space="preserve"> Hỗ trợ sửa chữa cơ sở vật chất Trung tâm giáo dục nghề nghiệp công lập</t>
  </si>
  <si>
    <t xml:space="preserve">Sau khi rà soát nhu cầu thực tế số lượng học viên đăng ký rất thấp, hơn nữa số kinh phí được phân bổ lớn hơn so với thực tế, dẫn đến kinh phí còn dư </t>
  </si>
  <si>
    <t xml:space="preserve">Tiểu dự án 3: Việc làm bền vững </t>
  </si>
  <si>
    <t>Không có nhiệm vụ chi trong hỗ trợ kết nối việc làm thành công; cơ sở hạ tầng, trang thiết bị công nghệ thông tin chưa hoạt động</t>
  </si>
  <si>
    <t>3.2</t>
  </si>
  <si>
    <t>3.3</t>
  </si>
  <si>
    <t>Các đối tượng thuộc nội dung tập huấn cơ bản đã được tập huấn, dự kiến thực hiện các nội dung không hết số kinh phí được phân bổ.</t>
  </si>
  <si>
    <t>3.4</t>
  </si>
  <si>
    <t>Các đối tượng thuộc nội dung tập huấn cơ bản đã được tập huấn, số kinh phí được phân bổ lớn kinh phí còn dư</t>
  </si>
  <si>
    <t>Không đề xuất điều chỉnh</t>
  </si>
  <si>
    <t>VII</t>
  </si>
  <si>
    <r>
      <t>Dự án 2: Đa dạng hóa sinh kế, phát triển mô hình giảm nghèo</t>
    </r>
    <r>
      <rPr>
        <b/>
        <sz val="10"/>
        <color theme="1"/>
        <rFont val="Times New Roman"/>
        <family val="1"/>
      </rPr>
      <t xml:space="preserve"> </t>
    </r>
  </si>
  <si>
    <t>Kinh phí còn dư, đã hết nhiệm vụ chi.</t>
  </si>
  <si>
    <t>Không có đối tượng để triển khai thực hiện.</t>
  </si>
  <si>
    <t>Do không có đối tượng thực hiện nên không thể giải ngân hết kinh phí được giao</t>
  </si>
  <si>
    <t>Tiểu Dự án 1: Giảm nghèo về thông tin</t>
  </si>
  <si>
    <t>VIII</t>
  </si>
  <si>
    <t>Điều chỉnh tăng kinh phí để duy tu bảo dưỡng các công trình trên địa bàn huyện Ngân Sơn và huyện Pác Nặm</t>
  </si>
  <si>
    <t>Huyện Na Rì, Ngân Sơn, Pác Nặm đề xuất thực hiện rộng thêm quy mô dự án để đảm bảo chất lượng thực hiện các nội dung của chương trình và chỉ tiêu của chương trình, tăng cường hoạt động cải thiện chất lượng bữa ăn học đường và giáo dục chăm sóc dinh dưỡng ..</t>
  </si>
  <si>
    <t>Do nhu cầu thực tế số lượng hộ dân đăng ký nhu cầu hỗ trợ nhà ở theo đề án thấp, hơn nữa số kinh phí được phân bổ lớn hơn so với thực tế dẫn đến không thể giải ngân được hết kinh phí được giao</t>
  </si>
  <si>
    <t xml:space="preserve">Nguồn vốn năm 2023 giao cho Sở Thông tin - Truyền thông để thực hiện dự án 7 còn dư do hết nhiệm vụ chi. Đề nghị điều chỉnh sang Tiểu dự án 1, Dự án 6 để thực hiện sản xuất mới các sản phẩm truyền thông, chương trình phát thanh tuyên truyền nhằm cung cấp nội dung thiết yếu cho người dân. </t>
  </si>
  <si>
    <t>Đối tượng trẻ em dưới 16 tuổi thuộc hộ nghèo, hộ cận nghèo, hộ mới thoát nghèo tại các xã, thị trấn ít, có những thôn bản chỉ có 1 đến 2 trẻ nên gặp khó khăn trong việc truyền thông, tư vấn và hoạt động can thiệp cho đối tượng, kết quả điều tra khảo sát toàn huyện năm 2023 tỷ lệ suy dinh dưỡng trẻ từ 5 đến dưới 16 tuổi thuộc hộ nghèo, cận nghèo, mới thoát nghèo thấp. Do không có đối tượng nên không thể giải ngân hết kinh phí được giao</t>
  </si>
  <si>
    <t>Đề xuất bổ sung kinh phí để thực hiện nội dung “Sản xuất mới các sản phẩm truyền thông dưới dạng điện tử tuyên truyền về giảm nghèo, bao gồm tiếng dân tộc thiểu số (nếu có) để phát sóng trên đài truyền thanh cấp xã, đăng tải trên cổng thông tin điện tử của địa phương, đơn vị nhằm cung cấp thông tin thiết yếu, có giá trị sử dụng lâu dài phục vụ xã hội, trong đó ưu tiên phục vụ khu vực có điều kiện kinh tế - xã hội đặc biệt khó khăn, có tỷ lệ hộ nghèo cao” theo hướng dẫn tại Văn bản số 247/STTTT-TTBCXB ngày 13/3/2024 của Sở Thông tin và Truyền thông</t>
  </si>
  <si>
    <t>Dự án 1. Hỗ trợ đầu tư phát triển hạ tầng kinh tế - xã hội các huyện nghèo, các xã đặc biệt khó khăn vùng bãi ngang, ven biển và hải đảo</t>
  </si>
  <si>
    <t>Tiểu dự án 1: Hỗ trợ đầu tư phát triển hạ tầng kinh tế - xã hội các huyện nghèo, các xã đặc biệt khó khăn vùng bãi ngang, ven biển và hải đảo.</t>
  </si>
  <si>
    <t>Duy tu, bảo dưỡng đường Cao Tân - Nà Lài, xã Cao Tân</t>
  </si>
  <si>
    <t>Dự án 2 : Đa dạng hoá sinh kế Phát triển mô hình giảm nghèo</t>
  </si>
  <si>
    <t xml:space="preserve"> Tiểu dự án 1 : Phát triển giáo dục nghề nghiệp vùng nghèo, vùng khó khăn</t>
  </si>
  <si>
    <t>Tiều dự án 1,  hỗ trợ phát triển sản xuất trong nông nghiệp</t>
  </si>
  <si>
    <t xml:space="preserve"> Kinh phí còn dư Đã hết nhiệm vụ chi</t>
  </si>
  <si>
    <t>2.5</t>
  </si>
  <si>
    <t>2.6</t>
  </si>
  <si>
    <t>Dự án 2: Đa dạng hóa sinh kế phát triển mô hình giảm nghèo</t>
  </si>
  <si>
    <t xml:space="preserve">Tỷ lệ Suy dinh dưỡng thấp còi của trẻ từ 5 tuổi đến dưới 16 tuổi còn cao chiếm  33,15%. Để đảm bảo  80% trẻ suy dinh dưỡng thấp còi đc bổ sung vi chất dinh dưỡng và triển khai các nội dung khác của chương trình đạt chỉ tiêu giao đề xuất điều chỉnh tăng kinh phí hỗ trợ thực hiện dự án </t>
  </si>
  <si>
    <t>Tiểu dự án 2: cải thiện dinh dưỡng</t>
  </si>
  <si>
    <t xml:space="preserve"> Sự nghiệp y tế </t>
  </si>
  <si>
    <t>Tiểu dự án 3 : Việc làm bền vững</t>
  </si>
  <si>
    <t>3.5</t>
  </si>
  <si>
    <t xml:space="preserve">Sau khi rà soát nhu cầu thực tế số lượng đăng ký  nhu cầu hỗ trợ nhà ở theo đề án thấp, hơn nữa số kinh phí được phân bổ lớn hơn so với thực tế, dẫn đến kinh phí còn dư </t>
  </si>
  <si>
    <t>3.6</t>
  </si>
  <si>
    <t>Tiểu dự án 1  giảm nghèo về thông tin</t>
  </si>
  <si>
    <t>Các đối tượng thuộc nội dung tập huấn cơ bản đã được tập huấn,  dự kiến thực hiện các nội dung không hết số kinh phí được phân bổ l</t>
  </si>
  <si>
    <t>3.7</t>
  </si>
  <si>
    <t>Huyện Pác Nặm</t>
  </si>
  <si>
    <t>Nguồn kinh phí sự nghiệp năm 2023 chuyển sang năm 2024</t>
  </si>
  <si>
    <t>Mục 2: Phát triển hạ tầng kinh tế - xã hội, cơ bản đồng bộ, hiện đại, đảm bảo kết nối nông thôn - đô thị và kết nối các vùng miền</t>
  </si>
  <si>
    <t>Hỗ trợ phát triển các mô hình xử lý nước thải sinh hoạt quy mô hộ gia đình, cấp thôn</t>
  </si>
  <si>
    <t>Hoàn thiện tiêu chí về môi trường</t>
  </si>
  <si>
    <t>Mục 3: Tiếp tục thực hiện hiệu quả tái cơ cấu nghành nông nghiệp, phát triển kinh tế nông thôn</t>
  </si>
  <si>
    <t>Lý do điều chỉnh giảm: Với kinh phí thực hiện sau đầu tư nên sau khi triển khai rà soát các mẫu mã đăng ký sản phẩm OCOP thì không có số lượng, trong khi năm 2024 đã được cấp kinh phí từ đầu năm.</t>
  </si>
  <si>
    <t>Triển khai Chương trình mỗi xã một sản phẩm (OCOP) gắn với lợi thế vùng miền, thành lập Trung tâm OCOP Quốc gia …</t>
  </si>
  <si>
    <t>Mục 5: Nâng cao chất lượng đời sống văn hoá nbông thôn; bảo tồn và phát huy các giá trị văn hoá truyền thống gắn với phát triển du lịch nông thôn</t>
  </si>
  <si>
    <t>Nâng cao hiệu quả hoạt động của hệ thống thiết chế văn hóa, thể thao cơ sở.</t>
  </si>
  <si>
    <t>Sự nghiệp văn hóa</t>
  </si>
  <si>
    <t>Trước đó đã được cấp BS 60tr đồng để thực hiện mua săm thiết chế văn hoá (UBND xã Xuân La)</t>
  </si>
  <si>
    <t>Hỗ trợ phát triển sản xuất trong lĩnh vực nông nghiệp</t>
  </si>
  <si>
    <t>Chi sản xuất và cung cấp nội dung thông tin, tuyên truyền để đăng phát trên hệ thống cụm thông tin điện tử</t>
  </si>
  <si>
    <t>Chi xây dựng tài liệu và đào tạo, tập huấn, bồi dưỡng kiến thức, kỹ năng, nghiệp vụ cho đội ngũ cán bộ làm công tác giảm nghèo; Trao đổi và học hỏi các cách làm hiệu quả về giảm nghèo bền vững</t>
  </si>
  <si>
    <t>Chi xây dựng, tổ chức thực hiện các chương trình, sự kiện, chuyên trang, chuyên mục, phóng sự, ấn phẩm truyền thông về giảm nghèo bền vững; tuyên truyền, giáo dục, nâng cao nhận thức và trách nhiệm các cấp, các ngành và toàn xã hội về công tác giảm nghèo</t>
  </si>
  <si>
    <t>Dự án 7: Nâng cao năng lực và giám sát, đánh giá thực hiện chương trình</t>
  </si>
  <si>
    <t>Nâng cao công tác kiểm tra giám sát cho các thành viên Ban Chỉ đạo cấp xã, và điều tra viên trực tiếp thực hiện tại thôn bản</t>
  </si>
  <si>
    <t>Duy tu bảo dưỡng đường Nà Nọi - Hội trường tổ dân phố, thị trấn Nà Phặc, huyện Ngân Sơn</t>
  </si>
  <si>
    <t xml:space="preserve">Chi sản xuất và cung cấp nội dung thông tin, tuyên truyền để đăng phát trên hệ thống cụm thông tin điện tử; Mở rộng quy mô truyền thông, tăng số lượng bài viết về thục hiện giảm nghèo bền vững </t>
  </si>
  <si>
    <t>Tiểu dự án 1, dự án 1: Hỗ trợ đầu tư phát triển hạ tầng kinh tế - xã hội các huyện nghèo, các xã đặc biệt khó khăn vùng bãi ngang, ven biển và hải đảo.</t>
  </si>
  <si>
    <t>Mua sản phẩm dinh dưỡng, triển khai các nội dung khác của chương trình đạt chỉ tiêu giao</t>
  </si>
  <si>
    <t>Tiểu dự án 2, dự án 3 cải thiện dinh dưỡng</t>
  </si>
  <si>
    <t>Dự án hỗ trợ phát triển sản xuất gắn với tiêu thụ sản phẩm trâu bò vỗ béo</t>
  </si>
  <si>
    <t>Dự kiến triển khai các dự án hỗ trợ phát triển sản xuất cộng đồng tại các xã, huyện Pác Nặm</t>
  </si>
  <si>
    <t>Dự án hỗ trợ phát triển sản xuất gắn với tiêu thụ sản phẩm trâu sinh sản trên địa bàn các xã Bộc Bố, Công Bằng, Giáo Hiệu, Cổ Linh huyện Pác Nặm</t>
  </si>
  <si>
    <t xml:space="preserve">Dự án hỗ trợ phát triển sản xuất gắn với tiêu thụ sản phẩm dê sinh sản </t>
  </si>
  <si>
    <t xml:space="preserve">Dự án hỗ trợ phát triển sản xuất gắn với tiêu thụ sản phẩm lợn thịt </t>
  </si>
  <si>
    <t>Dự án hỗ trợ phát triển sản xuất gắn với tiêu thụ sản phẩm lợn thịt bản địa</t>
  </si>
  <si>
    <t>Dự án phát triển sản xuất cộng đồng nuôi trâu sinh sản</t>
  </si>
  <si>
    <t>Tiểu dự án 1, Dự án 3: Hỗ trợ phát triển sản xuất trong lĩnh vực nông nghiệp</t>
  </si>
  <si>
    <t>UBND xã Yên Thượng</t>
  </si>
  <si>
    <t>Dự án phát triển sản xuất chuỗi giá trị chăn nuôi lợn thịt</t>
  </si>
  <si>
    <t>UBND xã Đồng Lạc</t>
  </si>
  <si>
    <t>Dự án liên kết chăn nuôi và tiêu thụ sản phẩm lợp thịt</t>
  </si>
  <si>
    <t>Dự án chăn nuôi gà thịt</t>
  </si>
  <si>
    <t>Dự án phát triển sản xuất cộng đồng chăn nuôi ngựa sinh sản</t>
  </si>
  <si>
    <t>UBND xã Côn Minh</t>
  </si>
  <si>
    <t>Dự án phát triển sản xuất chuỗi giá trị dự án chăn nuôi lợn thịt</t>
  </si>
  <si>
    <t>UBND xã Kim Hỷ</t>
  </si>
  <si>
    <t>Dự án phát triển sản xuất chuỗi giá trị trồng khoai tây</t>
  </si>
  <si>
    <t>UBND xã Trần Phú</t>
  </si>
  <si>
    <t>Dự án phát triển sản xuất chuỗi giá Dự án chăn nuôi ngựa sinh sản</t>
  </si>
  <si>
    <t>Dự án nuôi trâu sinh sản</t>
  </si>
  <si>
    <t>Dự án trồng ngô ngọt vụ mùa tại xã Vũ Muộn</t>
  </si>
  <si>
    <t>Chăn nuôi ngựa sinh sản</t>
  </si>
  <si>
    <t>UBND xã An Thắng</t>
  </si>
  <si>
    <t>Chăn nuôi lợn thịt bản địa</t>
  </si>
  <si>
    <t>UBND xã Cổ Linh</t>
  </si>
  <si>
    <t>UBND xã Nhạn Môn</t>
  </si>
  <si>
    <t>UBND xã Công Bằng</t>
  </si>
  <si>
    <t xml:space="preserve">Chăn nuôi trâu bò sinh sản </t>
  </si>
  <si>
    <t>UBND xã Nghiên Loan</t>
  </si>
  <si>
    <t>Trồng cây hồng ngâm không hạt</t>
  </si>
  <si>
    <t>Chăn nuôi dê sinh sản</t>
  </si>
  <si>
    <t>UBND xã Bằng Thành</t>
  </si>
  <si>
    <t>(Kèm theo Tờ trình số:                  /TTr-UBND ngày               /5/2024 của UBND tỉnh Bắc Kạn)</t>
  </si>
  <si>
    <t>Sửa chữa tuyến dường 253 - Thiêng Điểm - Cốc Bó, thôn Thiêng Điểm</t>
  </si>
  <si>
    <t>Sửa chữa kè sạt lở đường nội thôn Lủng Mình</t>
  </si>
  <si>
    <t xml:space="preserve"> Duy tu, bảo dưỡng Đường Bản Lấp</t>
  </si>
  <si>
    <t>Sửa chữa trường mầm non Bành Trạch</t>
  </si>
  <si>
    <t xml:space="preserve">Sửa chữa Nhà họp thôn Nà Tát </t>
  </si>
  <si>
    <t>Sửa chữa Nhà họp thôn Nặm Dắm</t>
  </si>
  <si>
    <t>Sửa chữa Nhà văn hóa thôn Nà Sang</t>
  </si>
  <si>
    <t>Sữa chữa Kênh Tả Nọi - Nà Kèng</t>
  </si>
  <si>
    <t>Sửa chữa Kênh Nà Này</t>
  </si>
  <si>
    <t>Sửa chữa Đập + Kênh Nà Pán</t>
  </si>
  <si>
    <t>Sửa chữa Kênh Nà Váng</t>
  </si>
  <si>
    <t>Sữa chữa Kênh Phai Piao</t>
  </si>
  <si>
    <t>Sửa chữa Phai Nà Khoang</t>
  </si>
  <si>
    <t>Sửa chữa Mương Ta Lắc</t>
  </si>
  <si>
    <t>Sửa chữa Kênh Nà Cheng</t>
  </si>
  <si>
    <t>Sữa chữa Đường Nà Chào</t>
  </si>
  <si>
    <t>Sửa chữa Đường trục thôn Nà Lại</t>
  </si>
  <si>
    <t>Sửa chữa Đường trục thôn Nà Khảo</t>
  </si>
  <si>
    <t>Quy mô dự kiến</t>
  </si>
  <si>
    <t>Thời gian năm thực hiện (Dự kiến)</t>
  </si>
  <si>
    <t>Tổng số (tất cả các nguồn vốn)</t>
  </si>
  <si>
    <t>Trong đó:</t>
  </si>
  <si>
    <t>Nguồn vốn địa phương</t>
  </si>
  <si>
    <t>Nguồn vốn ngân sách Trung ương</t>
  </si>
  <si>
    <t>Địa điểm
(thôn)</t>
  </si>
  <si>
    <t>Biểu 01</t>
  </si>
  <si>
    <t xml:space="preserve">Danh mục đề nghị bổ sung </t>
  </si>
  <si>
    <t>Chương trình mục tiêu quốc gia giảm nghèo</t>
  </si>
  <si>
    <t>Dự án 1: Hỗ trợ đầu tư phát triển hạ tầng kinh tế - xã hội các huyện nghèo (Duy tu bảo dưỡng công trình)</t>
  </si>
  <si>
    <t>Đường  Bản Mới - Nà Kéo</t>
  </si>
  <si>
    <t>Đường Bản Mấư – Ma Nòn (đoạn đầu thôn Thuận Hưng)</t>
  </si>
  <si>
    <t>Đường Bản Mấư – Ma Nòn (đoạn Nà Pò, Ma Nòn)</t>
  </si>
  <si>
    <t>2025-2026</t>
  </si>
  <si>
    <t>(Kèm theo Nghị quyết:       /NQ-HĐND ngày     tháng 12  năm 2025 của HĐND xã Thượng Quan)</t>
  </si>
  <si>
    <t>Thôn Nà Kéo</t>
  </si>
  <si>
    <t>Thôn Thuận Hưng</t>
  </si>
  <si>
    <t>Thôn Nà Pò, Ma Nòn</t>
  </si>
  <si>
    <t>Đổ bê tông xi măng mặt đường chiều dài khoảng 800m (độ dày tùy vị trí hư hỏng khoảng 7 đến 16 cm) đắp lại lề tại một số vị trí thiếu, hư, hỏng</t>
  </si>
  <si>
    <t>Đổ bê tông xi măng mặt đường chiều dài khoảng 600m (độ dày tùy vị trí hư hỏng khoảng 7 đến 16 cm); khơi thông, đắp bù phụ lại một số đoạn rãnh bị hư, hỏng; đắp lại lề tại một số vị trí thiếu, hư, hỏng</t>
  </si>
  <si>
    <t>Đổ bê tông xi măng mặt đường chiều dài khoảng 600m (độ dày tùy vị trí hư hỏng khoảng 7 đến 16 cm) một số  đoạn phải thực hiện kè gia cố nền đường bằng rọ đá hoặc phương án phù hợp với hiện trường; đắp lại lề tại một số vị trí thiếu, hư, hỏng</t>
  </si>
  <si>
    <t>Hót đất sạt (vùi lấp kênh mương) tại một số vị trí; khơi thông kênh mương, gia cố lại một số vị trí bị hư hỏng, rò rỉ</t>
  </si>
  <si>
    <t>Kênh Mương Xả, thôn Thuận Hưng</t>
  </si>
  <si>
    <t xml:space="preserve"> BỔ SUNG KẾ HOẠCH THỰC HIỆN  CHƯƠNG TRÌNH MỤC TIÊU QUỐC GIA GIẢM NGHÈO BỀN VỮNG NĂM 2025 XÃ THƯỢNG QUAN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</si>
</sst>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0\ _₫_-;\-* #,##0\ _₫_-;_-* &quot;-&quot;??\ _₫_-;_-@_-"/>
    <numFmt numFmtId="166" formatCode="#,##0_ ;\-#,##0\ "/>
    <numFmt numFmtId="167" formatCode="_-* #,##0.0\ _₫_-;\-* #,##0.0\ _₫_-;_-* &quot;-&quot;??\ _₫_-;_-@_-"/>
    <numFmt numFmtId="168" formatCode="#,##0_ ;[Red]\-#,##0\ "/>
    <numFmt numFmtId="169" formatCode="_(* #,##0_);_(* \(#,##0\);_(* &quot;-&quot;??_);_(@_)"/>
  </numFmts>
  <fonts count="53">
    <font>
      <sz val="12"/>
      <color theme="1"/>
      <name val="Times New Roman"/>
      <family val="2"/>
      <charset val="163"/>
    </font>
    <font>
      <b/>
      <sz val="12"/>
      <color theme="1"/>
      <name val="Times New Roman"/>
      <family val="1"/>
    </font>
    <font>
      <i/>
      <sz val="12"/>
      <color theme="1"/>
      <name val="Times New Roman"/>
      <family val="1"/>
    </font>
    <font>
      <sz val="9"/>
      <color theme="1"/>
      <name val="Times New Roman"/>
      <family val="2"/>
      <charset val="163"/>
    </font>
    <font>
      <sz val="12"/>
      <color theme="1"/>
      <name val="Times New Roman"/>
      <family val="2"/>
      <charset val="163"/>
    </font>
    <font>
      <sz val="12"/>
      <color theme="1"/>
      <name val="Times New Roman"/>
      <family val="1"/>
    </font>
    <font>
      <b/>
      <sz val="12"/>
      <name val="Times New Roman"/>
      <family val="2"/>
      <charset val="163"/>
    </font>
    <font>
      <sz val="12"/>
      <name val="Times New Roman"/>
      <family val="1"/>
    </font>
    <font>
      <b/>
      <sz val="12"/>
      <name val="Times New Roman"/>
      <family val="1"/>
    </font>
    <font>
      <sz val="12"/>
      <name val="Times New Roman"/>
      <family val="2"/>
      <charset val="163"/>
    </font>
    <font>
      <sz val="10"/>
      <name val="Arial"/>
      <family val="2"/>
    </font>
    <font>
      <sz val="12"/>
      <name val=".VnTime"/>
      <family val="2"/>
    </font>
    <font>
      <b/>
      <sz val="12"/>
      <color theme="1"/>
      <name val="Times New Roman"/>
      <family val="2"/>
      <charset val="163"/>
    </font>
    <font>
      <i/>
      <sz val="12"/>
      <name val="Times New Roman"/>
      <family val="1"/>
    </font>
    <font>
      <i/>
      <sz val="11"/>
      <color theme="1"/>
      <name val="Times New Roman"/>
      <family val="1"/>
    </font>
    <font>
      <b/>
      <sz val="11"/>
      <color theme="1"/>
      <name val="Times New Roman"/>
      <family val="1"/>
    </font>
    <font>
      <sz val="12"/>
      <color theme="1"/>
      <name val="Times New Roman"/>
      <family val="2"/>
    </font>
    <font>
      <sz val="9"/>
      <color theme="1"/>
      <name val="Times New Roman"/>
      <family val="1"/>
    </font>
    <font>
      <sz val="9"/>
      <name val="Times New Roman"/>
      <family val="1"/>
    </font>
    <font>
      <sz val="12"/>
      <color indexed="8"/>
      <name val="Times New Roman"/>
      <family val="1"/>
    </font>
    <font>
      <sz val="12"/>
      <color rgb="FF000000"/>
      <name val="Times New Roman"/>
      <family val="1"/>
    </font>
    <font>
      <i/>
      <sz val="12"/>
      <color indexed="8"/>
      <name val="Times New Roman"/>
      <family val="1"/>
    </font>
    <font>
      <b/>
      <sz val="12"/>
      <color rgb="FF000000"/>
      <name val="Times New Roman"/>
      <family val="1"/>
    </font>
    <font>
      <b/>
      <sz val="12"/>
      <color indexed="8"/>
      <name val="Times New Roman"/>
      <family val="1"/>
    </font>
    <font>
      <i/>
      <sz val="14"/>
      <color theme="1"/>
      <name val="Times New Roman"/>
      <family val="1"/>
    </font>
    <font>
      <sz val="14"/>
      <color theme="1"/>
      <name val="Times New Roman"/>
      <family val="1"/>
    </font>
    <font>
      <b/>
      <i/>
      <sz val="12"/>
      <color theme="1"/>
      <name val="Times New Roman"/>
      <family val="1"/>
    </font>
    <font>
      <i/>
      <sz val="12"/>
      <color theme="1"/>
      <name val="Times New Roman"/>
      <family val="2"/>
      <charset val="163"/>
    </font>
    <font>
      <sz val="11"/>
      <color theme="1"/>
      <name val="Times New Roman"/>
      <family val="1"/>
    </font>
    <font>
      <b/>
      <sz val="10"/>
      <color theme="1"/>
      <name val="Times New Roman"/>
      <family val="1"/>
    </font>
    <font>
      <b/>
      <sz val="11"/>
      <color theme="1"/>
      <name val="Times New Roman"/>
      <family val="2"/>
      <charset val="163"/>
    </font>
    <font>
      <sz val="13"/>
      <name val="Times New Roman"/>
      <family val="1"/>
    </font>
    <font>
      <sz val="11"/>
      <color theme="1"/>
      <name val="Calibri"/>
      <family val="2"/>
      <scheme val="minor"/>
    </font>
    <font>
      <sz val="12"/>
      <color rgb="FF000000"/>
      <name val="Times New Roman"/>
      <family val="2"/>
      <charset val="163"/>
    </font>
    <font>
      <b/>
      <i/>
      <sz val="11"/>
      <color theme="1"/>
      <name val="Times New Roman"/>
      <family val="1"/>
    </font>
    <font>
      <b/>
      <sz val="12"/>
      <color rgb="FF0070C0"/>
      <name val="Times New Roman"/>
      <family val="1"/>
    </font>
    <font>
      <sz val="12"/>
      <color rgb="FF0070C0"/>
      <name val="Times New Roman"/>
      <family val="1"/>
    </font>
    <font>
      <i/>
      <sz val="12"/>
      <color rgb="FF0070C0"/>
      <name val="Times New Roman"/>
      <family val="1"/>
    </font>
    <font>
      <b/>
      <sz val="14"/>
      <color theme="1"/>
      <name val="Times New Roman"/>
      <family val="1"/>
    </font>
    <font>
      <b/>
      <sz val="9"/>
      <name val="Times New Roman"/>
      <family val="1"/>
    </font>
    <font>
      <sz val="14"/>
      <color theme="1"/>
      <name val="Times New Roman"/>
      <family val="2"/>
      <charset val="163"/>
    </font>
    <font>
      <b/>
      <sz val="14"/>
      <name val="Times New Roman"/>
      <family val="1"/>
    </font>
    <font>
      <sz val="14"/>
      <name val="Times New Roman"/>
      <family val="1"/>
    </font>
    <font>
      <b/>
      <sz val="14"/>
      <name val="Times New Roman"/>
      <family val="2"/>
      <charset val="163"/>
    </font>
    <font>
      <b/>
      <sz val="16"/>
      <color theme="1"/>
      <name val="Times New Roman"/>
      <family val="1"/>
    </font>
    <font>
      <sz val="16"/>
      <color theme="1"/>
      <name val="Times New Roman"/>
      <family val="1"/>
    </font>
    <font>
      <i/>
      <sz val="16"/>
      <color theme="1"/>
      <name val="Times New Roman"/>
      <family val="1"/>
    </font>
    <font>
      <b/>
      <sz val="13"/>
      <color theme="1"/>
      <name val="Times New Roman"/>
      <family val="1"/>
    </font>
    <font>
      <b/>
      <sz val="13"/>
      <name val="Times New Roman"/>
      <family val="1"/>
    </font>
    <font>
      <b/>
      <i/>
      <sz val="14"/>
      <name val="Times New Roman"/>
      <family val="1"/>
    </font>
    <font>
      <b/>
      <i/>
      <sz val="14"/>
      <color theme="1"/>
      <name val="Times New Roman"/>
      <family val="1"/>
    </font>
    <font>
      <b/>
      <sz val="12"/>
      <color theme="1"/>
      <name val="Cambria"/>
      <family val="1"/>
      <scheme val="major"/>
    </font>
    <font>
      <sz val="12"/>
      <color theme="1"/>
      <name val="Cambria"/>
      <family val="1"/>
      <scheme val="major"/>
    </font>
  </fonts>
  <fills count="9">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92D050"/>
        <bgColor indexed="64"/>
      </patternFill>
    </fill>
    <fill>
      <patternFill patternType="solid">
        <fgColor rgb="FFFF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s>
  <cellStyleXfs count="17">
    <xf numFmtId="0" fontId="0" fillId="0" borderId="0"/>
    <xf numFmtId="164" fontId="4" fillId="0" borderId="0" applyFont="0" applyFill="0" applyBorder="0" applyAlignment="0" applyProtection="0"/>
    <xf numFmtId="0" fontId="10" fillId="0" borderId="0"/>
    <xf numFmtId="164" fontId="16"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1" fillId="0" borderId="0"/>
    <xf numFmtId="0" fontId="11" fillId="0" borderId="0"/>
    <xf numFmtId="0" fontId="10" fillId="0" borderId="0"/>
  </cellStyleXfs>
  <cellXfs count="747">
    <xf numFmtId="0" fontId="0" fillId="0" borderId="0" xfId="0"/>
    <xf numFmtId="0" fontId="0" fillId="0" borderId="0" xfId="0" applyAlignment="1">
      <alignment vertical="center"/>
    </xf>
    <xf numFmtId="0" fontId="1" fillId="0" borderId="0" xfId="0" applyFont="1" applyAlignment="1">
      <alignment vertical="center"/>
    </xf>
    <xf numFmtId="0" fontId="1" fillId="0" borderId="1" xfId="0" applyFont="1" applyBorder="1" applyAlignment="1">
      <alignment horizontal="center" vertical="center" wrapText="1"/>
    </xf>
    <xf numFmtId="0" fontId="1" fillId="0" borderId="3" xfId="0" applyFont="1" applyBorder="1" applyAlignment="1">
      <alignment vertical="center"/>
    </xf>
    <xf numFmtId="0" fontId="0" fillId="0" borderId="4" xfId="0" applyBorder="1" applyAlignment="1">
      <alignment horizontal="center" vertical="center"/>
    </xf>
    <xf numFmtId="0" fontId="0" fillId="0" borderId="4" xfId="0" applyBorder="1" applyAlignment="1">
      <alignment vertical="center" wrapText="1"/>
    </xf>
    <xf numFmtId="0" fontId="0" fillId="0" borderId="4" xfId="0" applyBorder="1" applyAlignment="1">
      <alignment vertical="center"/>
    </xf>
    <xf numFmtId="0" fontId="1" fillId="0" borderId="4" xfId="0" applyFont="1" applyBorder="1" applyAlignment="1">
      <alignment horizontal="center" vertical="center"/>
    </xf>
    <xf numFmtId="0" fontId="1" fillId="0" borderId="4" xfId="0" applyFont="1" applyBorder="1" applyAlignment="1">
      <alignment vertical="center" wrapText="1"/>
    </xf>
    <xf numFmtId="0" fontId="1" fillId="0" borderId="4"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vertical="center"/>
    </xf>
    <xf numFmtId="0" fontId="1" fillId="2" borderId="4" xfId="0" applyFont="1" applyFill="1" applyBorder="1" applyAlignment="1">
      <alignment horizontal="center" vertical="center"/>
    </xf>
    <xf numFmtId="0" fontId="1" fillId="2" borderId="4" xfId="0" applyFont="1" applyFill="1" applyBorder="1" applyAlignment="1">
      <alignment vertical="center" wrapText="1"/>
    </xf>
    <xf numFmtId="0" fontId="1" fillId="2" borderId="4" xfId="0" applyFont="1" applyFill="1" applyBorder="1" applyAlignment="1">
      <alignment vertical="center"/>
    </xf>
    <xf numFmtId="3" fontId="1" fillId="0" borderId="3" xfId="0" applyNumberFormat="1" applyFont="1" applyBorder="1" applyAlignment="1">
      <alignment vertical="center"/>
    </xf>
    <xf numFmtId="3" fontId="0" fillId="0" borderId="4" xfId="0" applyNumberFormat="1" applyBorder="1" applyAlignment="1">
      <alignment vertical="center"/>
    </xf>
    <xf numFmtId="0" fontId="0" fillId="0" borderId="4" xfId="0" quotePrefix="1" applyBorder="1" applyAlignment="1">
      <alignment horizontal="center" vertical="center"/>
    </xf>
    <xf numFmtId="3" fontId="1" fillId="0" borderId="4" xfId="0" applyNumberFormat="1" applyFont="1" applyBorder="1" applyAlignment="1">
      <alignment vertical="center"/>
    </xf>
    <xf numFmtId="3" fontId="1" fillId="2" borderId="4" xfId="0" applyNumberFormat="1" applyFont="1" applyFill="1" applyBorder="1" applyAlignment="1">
      <alignment vertical="center"/>
    </xf>
    <xf numFmtId="0" fontId="5" fillId="0" borderId="4" xfId="0" applyFont="1" applyBorder="1" applyAlignment="1">
      <alignment vertical="center" wrapText="1"/>
    </xf>
    <xf numFmtId="0" fontId="1" fillId="3" borderId="4" xfId="0" applyFont="1" applyFill="1" applyBorder="1" applyAlignment="1">
      <alignment horizontal="center" vertical="center"/>
    </xf>
    <xf numFmtId="0" fontId="1" fillId="3" borderId="4" xfId="0" applyFont="1" applyFill="1" applyBorder="1" applyAlignment="1">
      <alignment vertical="center"/>
    </xf>
    <xf numFmtId="3" fontId="1" fillId="3" borderId="4" xfId="0" applyNumberFormat="1" applyFont="1" applyFill="1" applyBorder="1" applyAlignment="1">
      <alignment vertical="center"/>
    </xf>
    <xf numFmtId="3" fontId="1" fillId="3" borderId="4" xfId="0" applyNumberFormat="1" applyFont="1" applyFill="1" applyBorder="1" applyAlignment="1">
      <alignment horizontal="center" vertical="center"/>
    </xf>
    <xf numFmtId="3" fontId="1" fillId="2" borderId="4" xfId="1" applyNumberFormat="1" applyFont="1" applyFill="1" applyBorder="1" applyAlignment="1">
      <alignment vertical="center"/>
    </xf>
    <xf numFmtId="3" fontId="1" fillId="0" borderId="4" xfId="1" applyNumberFormat="1" applyFont="1" applyBorder="1" applyAlignment="1">
      <alignment vertical="center"/>
    </xf>
    <xf numFmtId="3" fontId="0" fillId="0" borderId="4" xfId="1" applyNumberFormat="1" applyFont="1" applyBorder="1" applyAlignment="1">
      <alignment vertical="center"/>
    </xf>
    <xf numFmtId="0" fontId="7" fillId="0" borderId="4" xfId="0" applyFont="1" applyBorder="1" applyAlignment="1">
      <alignment vertical="center" wrapText="1"/>
    </xf>
    <xf numFmtId="3" fontId="0" fillId="0" borderId="0" xfId="0" applyNumberFormat="1" applyAlignment="1">
      <alignment vertical="center"/>
    </xf>
    <xf numFmtId="3" fontId="7" fillId="0" borderId="4" xfId="1" applyNumberFormat="1" applyFont="1" applyFill="1" applyBorder="1" applyAlignment="1">
      <alignment vertical="center" wrapText="1"/>
    </xf>
    <xf numFmtId="0" fontId="8" fillId="0" borderId="4" xfId="0" applyFont="1" applyBorder="1" applyAlignment="1">
      <alignment vertical="center" wrapText="1"/>
    </xf>
    <xf numFmtId="3" fontId="8" fillId="0" borderId="4" xfId="1" applyNumberFormat="1" applyFont="1" applyFill="1" applyBorder="1" applyAlignment="1">
      <alignment vertical="center" wrapText="1"/>
    </xf>
    <xf numFmtId="3" fontId="1" fillId="0" borderId="0" xfId="0" applyNumberFormat="1" applyFont="1" applyAlignment="1">
      <alignment vertical="center"/>
    </xf>
    <xf numFmtId="3" fontId="6" fillId="2" borderId="4" xfId="1" applyNumberFormat="1" applyFont="1" applyFill="1" applyBorder="1" applyAlignment="1">
      <alignment vertical="center" wrapText="1"/>
    </xf>
    <xf numFmtId="0" fontId="9" fillId="0" borderId="4" xfId="0" applyFont="1" applyBorder="1" applyAlignment="1">
      <alignment vertical="center" wrapText="1"/>
    </xf>
    <xf numFmtId="0" fontId="7" fillId="0" borderId="4" xfId="0" applyFont="1" applyBorder="1" applyAlignment="1">
      <alignment horizontal="center" vertical="center" wrapText="1"/>
    </xf>
    <xf numFmtId="3" fontId="7" fillId="0" borderId="4" xfId="0" applyNumberFormat="1" applyFont="1" applyBorder="1" applyAlignment="1">
      <alignment vertical="center" wrapText="1"/>
    </xf>
    <xf numFmtId="3" fontId="9" fillId="0" borderId="4" xfId="0" applyNumberFormat="1" applyFont="1" applyBorder="1" applyAlignment="1">
      <alignment vertical="center" wrapText="1"/>
    </xf>
    <xf numFmtId="0" fontId="8" fillId="0" borderId="4" xfId="0" applyFont="1" applyBorder="1" applyAlignment="1">
      <alignment horizontal="center" vertical="center" wrapText="1"/>
    </xf>
    <xf numFmtId="3" fontId="8" fillId="0" borderId="4" xfId="0" applyNumberFormat="1" applyFont="1" applyBorder="1" applyAlignment="1">
      <alignment vertical="center" wrapText="1"/>
    </xf>
    <xf numFmtId="0" fontId="8" fillId="0" borderId="4" xfId="0" applyFont="1" applyBorder="1" applyAlignment="1">
      <alignment horizontal="left" vertical="center" wrapText="1"/>
    </xf>
    <xf numFmtId="3" fontId="8" fillId="0" borderId="4" xfId="0" applyNumberFormat="1" applyFont="1" applyBorder="1" applyAlignment="1">
      <alignment horizontal="right" vertical="center" wrapText="1"/>
    </xf>
    <xf numFmtId="0" fontId="5" fillId="0" borderId="4" xfId="0" applyFont="1" applyBorder="1" applyAlignment="1">
      <alignment horizontal="left" vertical="center" wrapText="1"/>
    </xf>
    <xf numFmtId="0" fontId="6" fillId="2" borderId="4" xfId="0" applyFont="1" applyFill="1" applyBorder="1" applyAlignment="1">
      <alignment horizontal="center" vertical="center"/>
    </xf>
    <xf numFmtId="0" fontId="6" fillId="2" borderId="4" xfId="0" applyFont="1" applyFill="1" applyBorder="1" applyAlignment="1">
      <alignment vertical="center" wrapText="1"/>
    </xf>
    <xf numFmtId="0" fontId="6" fillId="2" borderId="4" xfId="0" applyFont="1" applyFill="1" applyBorder="1" applyAlignment="1">
      <alignment vertical="center"/>
    </xf>
    <xf numFmtId="0" fontId="8" fillId="0" borderId="4" xfId="0" applyFont="1" applyBorder="1" applyAlignment="1">
      <alignment horizontal="center" vertical="center"/>
    </xf>
    <xf numFmtId="0" fontId="7" fillId="0" borderId="4" xfId="0" applyFont="1" applyBorder="1" applyAlignment="1">
      <alignment horizontal="center" vertical="center"/>
    </xf>
    <xf numFmtId="3" fontId="7" fillId="0" borderId="4" xfId="0" applyNumberFormat="1" applyFont="1" applyBorder="1" applyAlignment="1">
      <alignment vertical="center"/>
    </xf>
    <xf numFmtId="0" fontId="6" fillId="2" borderId="4" xfId="0" applyFont="1" applyFill="1" applyBorder="1" applyAlignment="1">
      <alignment horizontal="center" vertical="center" wrapText="1"/>
    </xf>
    <xf numFmtId="3" fontId="6" fillId="2" borderId="4" xfId="0" applyNumberFormat="1" applyFont="1" applyFill="1" applyBorder="1" applyAlignment="1">
      <alignment vertical="center" wrapText="1"/>
    </xf>
    <xf numFmtId="0" fontId="11" fillId="0" borderId="4" xfId="0" applyFont="1" applyBorder="1" applyAlignment="1">
      <alignment horizontal="center" vertical="center" wrapText="1"/>
    </xf>
    <xf numFmtId="0" fontId="1" fillId="0" borderId="0" xfId="0" applyFont="1" applyAlignment="1">
      <alignment horizontal="right" vertical="center"/>
    </xf>
    <xf numFmtId="0" fontId="2" fillId="0" borderId="0" xfId="0" applyFont="1" applyAlignment="1">
      <alignment horizontal="right" vertical="center"/>
    </xf>
    <xf numFmtId="0" fontId="0" fillId="2" borderId="4" xfId="0" applyFill="1" applyBorder="1" applyAlignment="1">
      <alignment vertical="center" wrapText="1"/>
    </xf>
    <xf numFmtId="0" fontId="1" fillId="0" borderId="0" xfId="0" applyFont="1" applyAlignment="1">
      <alignment horizontal="center" vertical="center"/>
    </xf>
    <xf numFmtId="0" fontId="1" fillId="3" borderId="4" xfId="0" applyFont="1" applyFill="1" applyBorder="1" applyAlignment="1">
      <alignment vertical="center" wrapText="1"/>
    </xf>
    <xf numFmtId="165" fontId="1" fillId="2" borderId="4" xfId="1" applyNumberFormat="1" applyFont="1" applyFill="1" applyBorder="1" applyAlignment="1">
      <alignment vertical="center"/>
    </xf>
    <xf numFmtId="165" fontId="0" fillId="2" borderId="4" xfId="1" applyNumberFormat="1" applyFont="1" applyFill="1" applyBorder="1" applyAlignment="1">
      <alignment vertical="center"/>
    </xf>
    <xf numFmtId="165" fontId="1" fillId="0" borderId="4" xfId="1" applyNumberFormat="1" applyFont="1" applyBorder="1" applyAlignment="1">
      <alignment vertical="center"/>
    </xf>
    <xf numFmtId="0" fontId="5" fillId="0" borderId="4" xfId="0" applyFont="1" applyBorder="1" applyAlignment="1">
      <alignment horizontal="center" vertical="center"/>
    </xf>
    <xf numFmtId="0" fontId="8" fillId="4" borderId="4" xfId="0" applyFont="1" applyFill="1" applyBorder="1" applyAlignment="1">
      <alignment horizontal="justify" vertical="center" wrapText="1"/>
    </xf>
    <xf numFmtId="165" fontId="1" fillId="0" borderId="4" xfId="0" applyNumberFormat="1" applyFont="1" applyBorder="1" applyAlignment="1">
      <alignment vertical="center"/>
    </xf>
    <xf numFmtId="0" fontId="7" fillId="4" borderId="4" xfId="0" applyFont="1" applyFill="1" applyBorder="1" applyAlignment="1">
      <alignment vertical="center" wrapText="1"/>
    </xf>
    <xf numFmtId="165" fontId="5" fillId="0" borderId="4" xfId="1" applyNumberFormat="1" applyFont="1" applyBorder="1" applyAlignment="1">
      <alignment vertical="center"/>
    </xf>
    <xf numFmtId="0" fontId="7" fillId="4" borderId="4" xfId="0" applyFont="1" applyFill="1" applyBorder="1" applyAlignment="1">
      <alignment horizontal="justify" vertical="center" wrapText="1"/>
    </xf>
    <xf numFmtId="0" fontId="5" fillId="0" borderId="4" xfId="0" applyFont="1" applyBorder="1" applyAlignment="1">
      <alignment horizontal="justify" vertical="center" wrapText="1"/>
    </xf>
    <xf numFmtId="3" fontId="5" fillId="0" borderId="4" xfId="1" applyNumberFormat="1" applyFont="1" applyBorder="1" applyAlignment="1">
      <alignment vertical="center"/>
    </xf>
    <xf numFmtId="0" fontId="7" fillId="0" borderId="4" xfId="0" applyFont="1" applyBorder="1" applyAlignment="1">
      <alignment horizontal="justify" vertical="center" wrapText="1"/>
    </xf>
    <xf numFmtId="0" fontId="8" fillId="0" borderId="4" xfId="0" applyFont="1" applyBorder="1" applyAlignment="1">
      <alignment horizontal="justify" vertical="center" wrapText="1"/>
    </xf>
    <xf numFmtId="3" fontId="8" fillId="2" borderId="4" xfId="1" applyNumberFormat="1" applyFont="1" applyFill="1" applyBorder="1" applyAlignment="1">
      <alignment vertical="center" wrapText="1"/>
    </xf>
    <xf numFmtId="0" fontId="8" fillId="2" borderId="4" xfId="0" applyFont="1" applyFill="1" applyBorder="1" applyAlignment="1">
      <alignment horizontal="center" vertical="center"/>
    </xf>
    <xf numFmtId="0" fontId="8" fillId="2" borderId="4" xfId="0" applyFont="1" applyFill="1" applyBorder="1" applyAlignment="1">
      <alignment vertical="center" wrapText="1"/>
    </xf>
    <xf numFmtId="0" fontId="8" fillId="2" borderId="4" xfId="0" applyFont="1" applyFill="1" applyBorder="1" applyAlignment="1">
      <alignment vertical="center"/>
    </xf>
    <xf numFmtId="3" fontId="1" fillId="0" borderId="3" xfId="0" applyNumberFormat="1" applyFont="1" applyBorder="1" applyAlignment="1">
      <alignment horizontal="center" vertical="center"/>
    </xf>
    <xf numFmtId="0" fontId="1" fillId="4" borderId="4" xfId="0" applyFont="1" applyFill="1" applyBorder="1" applyAlignment="1">
      <alignment horizontal="center" vertical="center"/>
    </xf>
    <xf numFmtId="0" fontId="2" fillId="4" borderId="4" xfId="0" applyFont="1" applyFill="1" applyBorder="1" applyAlignment="1">
      <alignment horizontal="center" vertical="center" wrapText="1"/>
    </xf>
    <xf numFmtId="165" fontId="2" fillId="4" borderId="4" xfId="1" applyNumberFormat="1" applyFont="1" applyFill="1" applyBorder="1" applyAlignment="1">
      <alignment horizontal="right" vertical="center" wrapText="1"/>
    </xf>
    <xf numFmtId="0" fontId="5" fillId="4" borderId="4" xfId="0" applyFont="1" applyFill="1" applyBorder="1" applyAlignment="1">
      <alignment horizontal="center" vertical="center" wrapText="1"/>
    </xf>
    <xf numFmtId="165" fontId="5" fillId="0" borderId="4" xfId="1" applyNumberFormat="1" applyFont="1" applyBorder="1" applyAlignment="1">
      <alignment horizontal="right" vertical="center" wrapText="1"/>
    </xf>
    <xf numFmtId="0" fontId="2" fillId="4" borderId="4" xfId="0" applyFont="1" applyFill="1" applyBorder="1" applyAlignment="1">
      <alignment horizontal="center" vertical="center"/>
    </xf>
    <xf numFmtId="0" fontId="5" fillId="0" borderId="4" xfId="0" applyFont="1" applyBorder="1" applyAlignment="1">
      <alignment horizontal="center" vertical="center" wrapText="1"/>
    </xf>
    <xf numFmtId="0" fontId="5" fillId="2" borderId="4" xfId="0" applyFont="1" applyFill="1" applyBorder="1" applyAlignment="1">
      <alignment vertical="center" wrapText="1"/>
    </xf>
    <xf numFmtId="0" fontId="5" fillId="0" borderId="0" xfId="0" applyFont="1" applyAlignment="1">
      <alignment vertical="center"/>
    </xf>
    <xf numFmtId="0" fontId="5" fillId="0" borderId="5" xfId="0" applyFont="1" applyBorder="1" applyAlignment="1">
      <alignment vertical="center" wrapText="1"/>
    </xf>
    <xf numFmtId="3" fontId="5" fillId="0" borderId="0" xfId="0" applyNumberFormat="1" applyFont="1" applyAlignme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wrapText="1"/>
    </xf>
    <xf numFmtId="0" fontId="5" fillId="0" borderId="0" xfId="0" applyFont="1" applyAlignment="1">
      <alignment horizontal="justify" vertical="center" wrapText="1"/>
    </xf>
    <xf numFmtId="165" fontId="5" fillId="0" borderId="0" xfId="1" applyNumberFormat="1" applyFont="1" applyAlignment="1">
      <alignment horizontal="right" vertical="center" wrapText="1"/>
    </xf>
    <xf numFmtId="166" fontId="5" fillId="0" borderId="0" xfId="0" applyNumberFormat="1" applyFont="1" applyAlignment="1">
      <alignment horizontal="right" vertical="center" wrapText="1"/>
    </xf>
    <xf numFmtId="166" fontId="5" fillId="0" borderId="0" xfId="0" applyNumberFormat="1" applyFont="1" applyAlignment="1">
      <alignment horizontal="center" vertical="center" wrapText="1"/>
    </xf>
    <xf numFmtId="0" fontId="2" fillId="0" borderId="0" xfId="0" applyFont="1" applyAlignment="1">
      <alignment horizontal="center" vertical="center" wrapText="1"/>
    </xf>
    <xf numFmtId="165" fontId="1" fillId="0" borderId="1" xfId="1" applyNumberFormat="1" applyFont="1" applyBorder="1" applyAlignment="1">
      <alignment horizontal="center" vertical="center" wrapText="1"/>
    </xf>
    <xf numFmtId="166" fontId="8" fillId="4" borderId="1" xfId="3" applyNumberFormat="1" applyFont="1" applyFill="1" applyBorder="1" applyAlignment="1">
      <alignment horizontal="center" vertical="center" wrapText="1"/>
    </xf>
    <xf numFmtId="167" fontId="8" fillId="4" borderId="1" xfId="3" applyNumberFormat="1" applyFont="1" applyFill="1" applyBorder="1" applyAlignment="1">
      <alignment horizontal="center" vertical="center" wrapText="1"/>
    </xf>
    <xf numFmtId="0" fontId="5" fillId="0" borderId="0" xfId="0" applyFont="1" applyAlignment="1">
      <alignment vertical="center" wrapText="1"/>
    </xf>
    <xf numFmtId="0" fontId="17" fillId="0" borderId="1" xfId="0" applyFont="1" applyBorder="1" applyAlignment="1">
      <alignment horizontal="center" vertical="center" wrapText="1"/>
    </xf>
    <xf numFmtId="0" fontId="17" fillId="0" borderId="8" xfId="0" applyFont="1" applyBorder="1" applyAlignment="1">
      <alignment horizontal="center" vertical="center" wrapText="1"/>
    </xf>
    <xf numFmtId="165" fontId="17" fillId="0" borderId="8" xfId="1" applyNumberFormat="1" applyFont="1" applyBorder="1" applyAlignment="1">
      <alignment horizontal="center" vertical="center" wrapText="1"/>
    </xf>
    <xf numFmtId="166" fontId="17" fillId="0" borderId="8" xfId="0" applyNumberFormat="1" applyFont="1" applyBorder="1" applyAlignment="1">
      <alignment horizontal="center" vertical="center" wrapText="1"/>
    </xf>
    <xf numFmtId="167" fontId="18" fillId="4" borderId="8" xfId="3" applyNumberFormat="1" applyFont="1" applyFill="1" applyBorder="1" applyAlignment="1">
      <alignment horizontal="center" vertical="center" wrapText="1"/>
    </xf>
    <xf numFmtId="0" fontId="17" fillId="0" borderId="0" xfId="0" applyFont="1" applyAlignment="1">
      <alignment vertical="center"/>
    </xf>
    <xf numFmtId="168" fontId="5" fillId="0" borderId="5" xfId="1" applyNumberFormat="1" applyFont="1" applyBorder="1" applyAlignment="1">
      <alignment horizontal="right" vertical="center"/>
    </xf>
    <xf numFmtId="165" fontId="5" fillId="0" borderId="5" xfId="3" applyNumberFormat="1" applyFont="1" applyBorder="1" applyAlignment="1">
      <alignment horizontal="right" vertical="center" wrapText="1"/>
    </xf>
    <xf numFmtId="0" fontId="5" fillId="0" borderId="4" xfId="0" quotePrefix="1" applyFont="1" applyBorder="1" applyAlignment="1">
      <alignment horizontal="center" vertical="center" wrapText="1"/>
    </xf>
    <xf numFmtId="0" fontId="20" fillId="0" borderId="4" xfId="0" applyFont="1" applyBorder="1" applyAlignment="1">
      <alignment horizontal="justify" vertical="center" wrapText="1"/>
    </xf>
    <xf numFmtId="165" fontId="5" fillId="0" borderId="4" xfId="3" applyNumberFormat="1" applyFont="1" applyBorder="1" applyAlignment="1">
      <alignment horizontal="right" vertical="center" wrapText="1"/>
    </xf>
    <xf numFmtId="168" fontId="5" fillId="0" borderId="4" xfId="1" applyNumberFormat="1" applyFont="1" applyBorder="1" applyAlignment="1">
      <alignment horizontal="right" vertical="center"/>
    </xf>
    <xf numFmtId="165" fontId="5" fillId="0" borderId="4" xfId="3" applyNumberFormat="1" applyFont="1" applyBorder="1" applyAlignment="1">
      <alignment horizontal="center" vertical="center" wrapText="1"/>
    </xf>
    <xf numFmtId="0" fontId="5" fillId="0" borderId="5" xfId="0" quotePrefix="1" applyFont="1" applyBorder="1" applyAlignment="1">
      <alignment horizontal="center" vertical="center" wrapText="1"/>
    </xf>
    <xf numFmtId="0" fontId="5" fillId="0" borderId="5" xfId="0" applyFont="1" applyBorder="1" applyAlignment="1">
      <alignment horizontal="justify" vertical="center" wrapText="1"/>
    </xf>
    <xf numFmtId="165" fontId="5" fillId="0" borderId="5" xfId="3" applyNumberFormat="1" applyFont="1" applyBorder="1" applyAlignment="1">
      <alignment horizontal="center" vertical="center" wrapText="1"/>
    </xf>
    <xf numFmtId="0" fontId="5" fillId="0" borderId="0" xfId="0" applyFont="1" applyAlignment="1">
      <alignment horizontal="justify" vertical="center"/>
    </xf>
    <xf numFmtId="0" fontId="5" fillId="4" borderId="0" xfId="0" applyFont="1" applyFill="1" applyAlignment="1">
      <alignment vertical="center"/>
    </xf>
    <xf numFmtId="0" fontId="1" fillId="4" borderId="0" xfId="0" applyFont="1" applyFill="1" applyAlignment="1">
      <alignment vertical="center"/>
    </xf>
    <xf numFmtId="0" fontId="5" fillId="4" borderId="5" xfId="0" applyFont="1" applyFill="1" applyBorder="1" applyAlignment="1">
      <alignment horizontal="justify" vertical="center" wrapText="1"/>
    </xf>
    <xf numFmtId="0" fontId="2" fillId="4" borderId="4" xfId="0" quotePrefix="1" applyFont="1" applyFill="1" applyBorder="1" applyAlignment="1">
      <alignment horizontal="center" vertical="center"/>
    </xf>
    <xf numFmtId="0" fontId="2" fillId="4" borderId="4" xfId="0" applyFont="1" applyFill="1" applyBorder="1" applyAlignment="1">
      <alignment horizontal="justify" vertical="center" wrapText="1"/>
    </xf>
    <xf numFmtId="0" fontId="2" fillId="4" borderId="4" xfId="0" applyFont="1" applyFill="1" applyBorder="1" applyAlignment="1">
      <alignment horizontal="justify" vertical="center"/>
    </xf>
    <xf numFmtId="0" fontId="2" fillId="4" borderId="0" xfId="0" applyFont="1" applyFill="1" applyAlignment="1">
      <alignment vertical="center"/>
    </xf>
    <xf numFmtId="0" fontId="5" fillId="4" borderId="4" xfId="0" applyFont="1" applyFill="1" applyBorder="1" applyAlignment="1">
      <alignment horizontal="center" vertical="center"/>
    </xf>
    <xf numFmtId="0" fontId="5" fillId="4" borderId="4" xfId="0" applyFont="1" applyFill="1" applyBorder="1" applyAlignment="1">
      <alignment horizontal="justify" vertical="center"/>
    </xf>
    <xf numFmtId="0" fontId="5" fillId="4" borderId="4" xfId="0" quotePrefix="1" applyFont="1" applyFill="1" applyBorder="1" applyAlignment="1">
      <alignment horizontal="center" vertical="center"/>
    </xf>
    <xf numFmtId="0" fontId="7" fillId="4" borderId="4" xfId="0" applyFont="1" applyFill="1" applyBorder="1" applyAlignment="1">
      <alignment horizontal="center" vertical="center"/>
    </xf>
    <xf numFmtId="0" fontId="7" fillId="4" borderId="4" xfId="0" applyFont="1" applyFill="1" applyBorder="1" applyAlignment="1">
      <alignment horizontal="justify" vertical="center"/>
    </xf>
    <xf numFmtId="0" fontId="7" fillId="4" borderId="4" xfId="0" applyFont="1" applyFill="1" applyBorder="1" applyAlignment="1">
      <alignment horizontal="center" vertical="center" wrapText="1"/>
    </xf>
    <xf numFmtId="0" fontId="7" fillId="4" borderId="0" xfId="0" applyFont="1" applyFill="1" applyAlignment="1">
      <alignment vertical="center"/>
    </xf>
    <xf numFmtId="0" fontId="7" fillId="4" borderId="4" xfId="0" quotePrefix="1" applyFont="1" applyFill="1" applyBorder="1" applyAlignment="1">
      <alignment horizontal="center" vertical="center"/>
    </xf>
    <xf numFmtId="0" fontId="13" fillId="4" borderId="4" xfId="0" quotePrefix="1" applyFont="1" applyFill="1" applyBorder="1" applyAlignment="1">
      <alignment horizontal="center" vertical="center"/>
    </xf>
    <xf numFmtId="0" fontId="13" fillId="4" borderId="4" xfId="0" applyFont="1" applyFill="1" applyBorder="1" applyAlignment="1">
      <alignment horizontal="justify" vertical="center"/>
    </xf>
    <xf numFmtId="165" fontId="5" fillId="4" borderId="4" xfId="1" applyNumberFormat="1" applyFont="1" applyFill="1" applyBorder="1" applyAlignment="1">
      <alignment horizontal="right" vertical="center" wrapText="1"/>
    </xf>
    <xf numFmtId="0" fontId="24" fillId="4" borderId="4" xfId="0" quotePrefix="1" applyFont="1" applyFill="1" applyBorder="1" applyAlignment="1">
      <alignment horizontal="center" vertical="center"/>
    </xf>
    <xf numFmtId="0" fontId="24" fillId="4" borderId="4" xfId="0" applyFont="1" applyFill="1" applyBorder="1" applyAlignment="1">
      <alignment horizontal="center" vertical="center"/>
    </xf>
    <xf numFmtId="0" fontId="24" fillId="4" borderId="0" xfId="0" applyFont="1" applyFill="1" applyAlignment="1">
      <alignment vertical="center"/>
    </xf>
    <xf numFmtId="0" fontId="25" fillId="4" borderId="0" xfId="0" applyFont="1" applyFill="1" applyAlignment="1">
      <alignment vertical="center"/>
    </xf>
    <xf numFmtId="0" fontId="1" fillId="4" borderId="4" xfId="0" quotePrefix="1" applyFont="1" applyFill="1" applyBorder="1" applyAlignment="1">
      <alignment horizontal="center" vertical="center"/>
    </xf>
    <xf numFmtId="0" fontId="26" fillId="4" borderId="4" xfId="0" quotePrefix="1" applyFont="1" applyFill="1" applyBorder="1" applyAlignment="1">
      <alignment horizontal="center" vertical="center"/>
    </xf>
    <xf numFmtId="0" fontId="26" fillId="4" borderId="0" xfId="0" applyFont="1" applyFill="1" applyAlignment="1">
      <alignment vertical="center"/>
    </xf>
    <xf numFmtId="0" fontId="28" fillId="4" borderId="4" xfId="0" applyFont="1" applyFill="1" applyBorder="1" applyAlignment="1">
      <alignment horizontal="center" vertical="center"/>
    </xf>
    <xf numFmtId="3" fontId="5" fillId="4" borderId="4" xfId="0" applyNumberFormat="1" applyFont="1" applyFill="1" applyBorder="1" applyAlignment="1">
      <alignment horizontal="right" vertical="center"/>
    </xf>
    <xf numFmtId="0" fontId="28" fillId="4" borderId="4" xfId="0" quotePrefix="1" applyFont="1" applyFill="1" applyBorder="1" applyAlignment="1">
      <alignment horizontal="center" vertical="center"/>
    </xf>
    <xf numFmtId="0" fontId="28" fillId="4" borderId="4" xfId="0" applyFont="1" applyFill="1" applyBorder="1" applyAlignment="1">
      <alignment horizontal="center" vertical="center" wrapText="1"/>
    </xf>
    <xf numFmtId="0" fontId="14" fillId="4" borderId="4" xfId="0" quotePrefix="1" applyFont="1" applyFill="1" applyBorder="1" applyAlignment="1">
      <alignment horizontal="center" vertical="center"/>
    </xf>
    <xf numFmtId="3" fontId="2" fillId="4" borderId="4" xfId="0" applyNumberFormat="1" applyFont="1" applyFill="1" applyBorder="1" applyAlignment="1">
      <alignment horizontal="right" vertical="center"/>
    </xf>
    <xf numFmtId="0" fontId="14" fillId="4" borderId="4" xfId="0" applyFont="1" applyFill="1" applyBorder="1" applyAlignment="1">
      <alignment horizontal="center" vertical="center" wrapText="1"/>
    </xf>
    <xf numFmtId="0" fontId="1" fillId="4" borderId="4" xfId="0" applyFont="1" applyFill="1" applyBorder="1" applyAlignment="1">
      <alignment horizontal="justify" vertical="center"/>
    </xf>
    <xf numFmtId="3" fontId="1" fillId="4" borderId="4" xfId="0" applyNumberFormat="1" applyFont="1" applyFill="1" applyBorder="1" applyAlignment="1">
      <alignment horizontal="right" vertical="center"/>
    </xf>
    <xf numFmtId="0" fontId="14" fillId="4" borderId="5" xfId="0" quotePrefix="1" applyFont="1" applyFill="1" applyBorder="1" applyAlignment="1">
      <alignment horizontal="center" vertical="center"/>
    </xf>
    <xf numFmtId="0" fontId="2" fillId="4" borderId="5" xfId="0" applyFont="1" applyFill="1" applyBorder="1" applyAlignment="1">
      <alignment horizontal="justify" vertical="center"/>
    </xf>
    <xf numFmtId="3" fontId="2" fillId="4" borderId="5" xfId="0" applyNumberFormat="1" applyFont="1" applyFill="1" applyBorder="1" applyAlignment="1">
      <alignment horizontal="right" vertical="center"/>
    </xf>
    <xf numFmtId="0" fontId="14" fillId="4" borderId="5" xfId="0" applyFont="1" applyFill="1" applyBorder="1" applyAlignment="1">
      <alignment horizontal="center" vertical="center" wrapText="1"/>
    </xf>
    <xf numFmtId="0" fontId="1" fillId="3" borderId="4" xfId="0" applyFont="1" applyFill="1" applyBorder="1" applyAlignment="1">
      <alignment horizontal="justify" vertical="center" wrapText="1"/>
    </xf>
    <xf numFmtId="165" fontId="8" fillId="3" borderId="4" xfId="1" applyNumberFormat="1" applyFont="1" applyFill="1" applyBorder="1" applyAlignment="1">
      <alignment horizontal="right" vertical="center" wrapText="1"/>
    </xf>
    <xf numFmtId="0" fontId="1" fillId="3" borderId="4" xfId="0" quotePrefix="1" applyFont="1" applyFill="1" applyBorder="1" applyAlignment="1">
      <alignment horizontal="center" vertical="center"/>
    </xf>
    <xf numFmtId="165" fontId="8" fillId="2" borderId="4" xfId="1" applyNumberFormat="1" applyFont="1" applyFill="1" applyBorder="1" applyAlignment="1">
      <alignment horizontal="right" vertical="center" wrapText="1"/>
    </xf>
    <xf numFmtId="0" fontId="12" fillId="4" borderId="4" xfId="0" applyFont="1" applyFill="1" applyBorder="1" applyAlignment="1">
      <alignment horizontal="center" vertical="center"/>
    </xf>
    <xf numFmtId="165" fontId="5" fillId="4" borderId="4" xfId="0" applyNumberFormat="1" applyFont="1" applyFill="1" applyBorder="1" applyAlignment="1">
      <alignment horizontal="right" vertical="center" wrapText="1"/>
    </xf>
    <xf numFmtId="165" fontId="5" fillId="0" borderId="0" xfId="0" applyNumberFormat="1" applyFont="1" applyAlignment="1">
      <alignment horizontal="center" vertical="center" wrapText="1"/>
    </xf>
    <xf numFmtId="0" fontId="2"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1" fillId="0" borderId="4" xfId="0" applyFont="1" applyBorder="1" applyAlignment="1">
      <alignment horizontal="justify" vertical="center" wrapText="1"/>
    </xf>
    <xf numFmtId="0" fontId="1" fillId="3" borderId="4" xfId="0" applyFont="1" applyFill="1" applyBorder="1" applyAlignment="1">
      <alignment horizontal="center" vertical="center" wrapText="1"/>
    </xf>
    <xf numFmtId="0" fontId="22" fillId="3" borderId="4" xfId="0" applyFont="1" applyFill="1" applyBorder="1" applyAlignment="1">
      <alignment horizontal="justify"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justify" vertical="center" wrapText="1"/>
    </xf>
    <xf numFmtId="0" fontId="5" fillId="0" borderId="4" xfId="0" quotePrefix="1"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vertical="center"/>
    </xf>
    <xf numFmtId="167" fontId="8" fillId="0" borderId="3" xfId="3" applyNumberFormat="1" applyFont="1" applyFill="1" applyBorder="1" applyAlignment="1">
      <alignment horizontal="center" vertical="center" wrapText="1"/>
    </xf>
    <xf numFmtId="0" fontId="1" fillId="0" borderId="3" xfId="0" applyFont="1" applyBorder="1" applyAlignment="1">
      <alignment horizontal="justify" vertical="center" wrapText="1"/>
    </xf>
    <xf numFmtId="0" fontId="1" fillId="5" borderId="4" xfId="0" applyFont="1" applyFill="1" applyBorder="1" applyAlignment="1">
      <alignment horizontal="justify" vertical="center" wrapText="1"/>
    </xf>
    <xf numFmtId="167" fontId="8" fillId="5" borderId="4" xfId="3" applyNumberFormat="1" applyFont="1" applyFill="1" applyBorder="1" applyAlignment="1">
      <alignment horizontal="center" vertical="center" wrapText="1"/>
    </xf>
    <xf numFmtId="0" fontId="5" fillId="0" borderId="3" xfId="0" applyFont="1" applyBorder="1" applyAlignment="1">
      <alignment vertical="center"/>
    </xf>
    <xf numFmtId="0" fontId="17" fillId="0" borderId="0" xfId="0" applyFont="1" applyAlignment="1">
      <alignment horizontal="center" vertical="center"/>
    </xf>
    <xf numFmtId="0" fontId="1" fillId="0" borderId="3" xfId="0" applyFont="1" applyBorder="1" applyAlignment="1">
      <alignment horizontal="center" vertical="center" wrapText="1"/>
    </xf>
    <xf numFmtId="165" fontId="1" fillId="0" borderId="3" xfId="0" applyNumberFormat="1" applyFont="1" applyBorder="1" applyAlignment="1">
      <alignment horizontal="right" vertical="center" wrapText="1"/>
    </xf>
    <xf numFmtId="168" fontId="1" fillId="0" borderId="3" xfId="1" applyNumberFormat="1" applyFont="1" applyBorder="1" applyAlignment="1">
      <alignment horizontal="right" vertical="center"/>
    </xf>
    <xf numFmtId="165" fontId="1" fillId="0" borderId="3" xfId="0" applyNumberFormat="1" applyFont="1" applyBorder="1" applyAlignment="1">
      <alignment horizontal="center" vertical="center" wrapText="1"/>
    </xf>
    <xf numFmtId="0" fontId="1" fillId="3" borderId="4" xfId="0" quotePrefix="1" applyFont="1" applyFill="1" applyBorder="1" applyAlignment="1">
      <alignment horizontal="center" vertical="center" wrapText="1"/>
    </xf>
    <xf numFmtId="165" fontId="1" fillId="3" borderId="4" xfId="3" applyNumberFormat="1" applyFont="1" applyFill="1" applyBorder="1" applyAlignment="1">
      <alignment horizontal="right" vertical="center" wrapText="1"/>
    </xf>
    <xf numFmtId="168" fontId="1" fillId="3" borderId="4" xfId="1" applyNumberFormat="1" applyFont="1" applyFill="1" applyBorder="1" applyAlignment="1">
      <alignment horizontal="right" vertical="center"/>
    </xf>
    <xf numFmtId="165" fontId="1" fillId="3" borderId="4" xfId="3" applyNumberFormat="1" applyFont="1" applyFill="1" applyBorder="1" applyAlignment="1">
      <alignment horizontal="center" vertical="center" wrapText="1"/>
    </xf>
    <xf numFmtId="0" fontId="19" fillId="3" borderId="4" xfId="0" applyFont="1" applyFill="1" applyBorder="1" applyAlignment="1">
      <alignment horizontal="justify" vertical="center" wrapText="1"/>
    </xf>
    <xf numFmtId="0" fontId="1" fillId="2" borderId="4" xfId="0" quotePrefix="1" applyFont="1" applyFill="1" applyBorder="1" applyAlignment="1">
      <alignment horizontal="center" vertical="center" wrapText="1"/>
    </xf>
    <xf numFmtId="165" fontId="1" fillId="2" borderId="4" xfId="3" applyNumberFormat="1" applyFont="1" applyFill="1" applyBorder="1" applyAlignment="1">
      <alignment horizontal="right" vertical="center" wrapText="1"/>
    </xf>
    <xf numFmtId="168" fontId="1" fillId="2" borderId="4" xfId="1" applyNumberFormat="1" applyFont="1" applyFill="1" applyBorder="1" applyAlignment="1">
      <alignment horizontal="right" vertical="center"/>
    </xf>
    <xf numFmtId="165" fontId="1" fillId="2" borderId="4" xfId="3" applyNumberFormat="1" applyFont="1" applyFill="1" applyBorder="1" applyAlignment="1">
      <alignment horizontal="center" vertical="center" wrapText="1"/>
    </xf>
    <xf numFmtId="0" fontId="1" fillId="0" borderId="4" xfId="0" quotePrefix="1" applyFont="1" applyBorder="1" applyAlignment="1">
      <alignment horizontal="center" vertical="center" wrapText="1"/>
    </xf>
    <xf numFmtId="165" fontId="1" fillId="0" borderId="4" xfId="3" applyNumberFormat="1" applyFont="1" applyBorder="1" applyAlignment="1">
      <alignment horizontal="right" vertical="center" wrapText="1"/>
    </xf>
    <xf numFmtId="168" fontId="1" fillId="0" borderId="4" xfId="1" applyNumberFormat="1" applyFont="1" applyBorder="1" applyAlignment="1">
      <alignment horizontal="right" vertical="center"/>
    </xf>
    <xf numFmtId="165" fontId="1" fillId="0" borderId="4" xfId="3" applyNumberFormat="1" applyFont="1" applyBorder="1" applyAlignment="1">
      <alignment horizontal="center" vertical="center" wrapText="1"/>
    </xf>
    <xf numFmtId="165" fontId="20" fillId="0" borderId="4" xfId="0" applyNumberFormat="1" applyFont="1" applyBorder="1" applyAlignment="1">
      <alignment horizontal="right" vertical="center" wrapText="1"/>
    </xf>
    <xf numFmtId="165" fontId="20" fillId="0" borderId="4" xfId="0" applyNumberFormat="1" applyFont="1" applyBorder="1" applyAlignment="1">
      <alignment horizontal="center" vertical="center" wrapText="1"/>
    </xf>
    <xf numFmtId="165" fontId="5" fillId="0" borderId="4" xfId="0" applyNumberFormat="1" applyFont="1" applyBorder="1" applyAlignment="1">
      <alignment horizontal="right" vertical="center" wrapText="1"/>
    </xf>
    <xf numFmtId="165" fontId="5" fillId="0" borderId="4" xfId="0" applyNumberFormat="1" applyFont="1" applyBorder="1" applyAlignment="1">
      <alignment horizontal="center" vertical="center" wrapText="1"/>
    </xf>
    <xf numFmtId="165" fontId="20" fillId="0" borderId="4" xfId="3" applyNumberFormat="1" applyFont="1" applyBorder="1" applyAlignment="1">
      <alignment horizontal="right" vertical="center" wrapText="1"/>
    </xf>
    <xf numFmtId="165" fontId="20" fillId="0" borderId="4" xfId="3" applyNumberFormat="1" applyFont="1" applyBorder="1" applyAlignment="1">
      <alignment horizontal="center" vertical="center" wrapText="1"/>
    </xf>
    <xf numFmtId="165" fontId="20" fillId="0" borderId="4" xfId="1" applyNumberFormat="1" applyFont="1" applyBorder="1" applyAlignment="1">
      <alignment horizontal="right" vertical="center" wrapText="1"/>
    </xf>
    <xf numFmtId="165" fontId="20" fillId="0" borderId="4" xfId="1" applyNumberFormat="1" applyFont="1" applyBorder="1" applyAlignment="1">
      <alignment horizontal="center" vertical="center" wrapText="1"/>
    </xf>
    <xf numFmtId="165" fontId="22" fillId="3" borderId="4" xfId="0" applyNumberFormat="1" applyFont="1" applyFill="1" applyBorder="1" applyAlignment="1">
      <alignment horizontal="right" vertical="center" wrapText="1"/>
    </xf>
    <xf numFmtId="0" fontId="23" fillId="3" borderId="4" xfId="0" applyFont="1" applyFill="1" applyBorder="1" applyAlignment="1">
      <alignment horizontal="justify" vertical="center" wrapText="1"/>
    </xf>
    <xf numFmtId="165" fontId="1" fillId="2" borderId="4" xfId="0" applyNumberFormat="1" applyFont="1" applyFill="1" applyBorder="1" applyAlignment="1">
      <alignment horizontal="right" vertical="center" wrapText="1"/>
    </xf>
    <xf numFmtId="165" fontId="1" fillId="2" borderId="4" xfId="0" applyNumberFormat="1" applyFont="1" applyFill="1" applyBorder="1" applyAlignment="1">
      <alignment horizontal="center" vertical="center" wrapText="1"/>
    </xf>
    <xf numFmtId="165" fontId="1" fillId="0" borderId="4" xfId="0" applyNumberFormat="1" applyFont="1" applyBorder="1" applyAlignment="1">
      <alignment horizontal="right" vertical="center" wrapText="1"/>
    </xf>
    <xf numFmtId="165" fontId="1" fillId="0" borderId="4" xfId="0" applyNumberFormat="1" applyFont="1" applyBorder="1" applyAlignment="1">
      <alignment horizontal="center" vertical="center" wrapText="1"/>
    </xf>
    <xf numFmtId="164" fontId="5" fillId="0" borderId="4" xfId="1" applyFont="1" applyBorder="1" applyAlignment="1">
      <alignment horizontal="right" vertical="center"/>
    </xf>
    <xf numFmtId="0" fontId="1" fillId="7" borderId="4" xfId="0" applyFont="1" applyFill="1" applyBorder="1" applyAlignment="1">
      <alignment vertical="center"/>
    </xf>
    <xf numFmtId="0" fontId="1" fillId="7" borderId="4" xfId="0" applyFont="1" applyFill="1" applyBorder="1" applyAlignment="1">
      <alignment horizontal="center" vertical="center"/>
    </xf>
    <xf numFmtId="3" fontId="1" fillId="7" borderId="4" xfId="0" applyNumberFormat="1" applyFont="1" applyFill="1" applyBorder="1" applyAlignment="1">
      <alignment vertical="center"/>
    </xf>
    <xf numFmtId="165" fontId="0" fillId="0" borderId="4" xfId="1" applyNumberFormat="1" applyFont="1" applyBorder="1" applyAlignment="1">
      <alignment vertical="center" wrapText="1"/>
    </xf>
    <xf numFmtId="0" fontId="5" fillId="0" borderId="4" xfId="0" applyFont="1" applyBorder="1" applyAlignment="1">
      <alignment vertical="center"/>
    </xf>
    <xf numFmtId="0" fontId="5" fillId="4" borderId="4" xfId="0" applyFont="1" applyFill="1" applyBorder="1" applyAlignment="1">
      <alignment horizontal="justify" vertical="center" wrapText="1"/>
    </xf>
    <xf numFmtId="0" fontId="5" fillId="0" borderId="4" xfId="0" quotePrefix="1" applyFont="1" applyBorder="1" applyAlignment="1">
      <alignment horizontal="justify" vertical="center" wrapText="1"/>
    </xf>
    <xf numFmtId="3" fontId="5" fillId="0" borderId="4" xfId="0" applyNumberFormat="1" applyFont="1" applyBorder="1" applyAlignment="1">
      <alignment vertical="center"/>
    </xf>
    <xf numFmtId="0" fontId="9" fillId="0" borderId="4" xfId="0" applyFont="1" applyBorder="1" applyAlignment="1">
      <alignment vertical="center"/>
    </xf>
    <xf numFmtId="0" fontId="1" fillId="0" borderId="0" xfId="0" applyFont="1"/>
    <xf numFmtId="0" fontId="1" fillId="0" borderId="0" xfId="0" applyFont="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xf>
    <xf numFmtId="0" fontId="1" fillId="2" borderId="1" xfId="0" applyFont="1" applyFill="1" applyBorder="1" applyAlignment="1">
      <alignment horizontal="center" vertical="center" wrapText="1"/>
    </xf>
    <xf numFmtId="0" fontId="5" fillId="0" borderId="0" xfId="0" applyFont="1"/>
    <xf numFmtId="3" fontId="1" fillId="3" borderId="4" xfId="0" applyNumberFormat="1" applyFont="1" applyFill="1" applyBorder="1" applyAlignment="1">
      <alignment vertical="center" wrapText="1"/>
    </xf>
    <xf numFmtId="3" fontId="1" fillId="2" borderId="4" xfId="0" applyNumberFormat="1" applyFont="1" applyFill="1" applyBorder="1" applyAlignment="1">
      <alignment vertical="center" wrapText="1"/>
    </xf>
    <xf numFmtId="0" fontId="1" fillId="0" borderId="4" xfId="0" applyFont="1" applyBorder="1" applyAlignment="1">
      <alignment horizontal="left" vertical="center" wrapText="1"/>
    </xf>
    <xf numFmtId="3" fontId="1" fillId="0" borderId="4" xfId="0" applyNumberFormat="1" applyFont="1" applyBorder="1" applyAlignment="1">
      <alignment vertical="center" wrapText="1"/>
    </xf>
    <xf numFmtId="3" fontId="5" fillId="0" borderId="4" xfId="0" applyNumberFormat="1" applyFont="1" applyBorder="1" applyAlignment="1">
      <alignment vertical="center" wrapText="1"/>
    </xf>
    <xf numFmtId="0" fontId="22" fillId="0" borderId="4" xfId="0" applyFont="1" applyBorder="1" applyAlignment="1">
      <alignment horizontal="justify" vertical="center"/>
    </xf>
    <xf numFmtId="0" fontId="5" fillId="0" borderId="4" xfId="0" applyFont="1" applyBorder="1" applyAlignment="1">
      <alignment horizontal="justify" vertical="center"/>
    </xf>
    <xf numFmtId="0" fontId="12" fillId="0" borderId="1" xfId="0" applyFont="1" applyBorder="1" applyAlignment="1">
      <alignment horizontal="center" vertical="center" wrapText="1"/>
    </xf>
    <xf numFmtId="0" fontId="12" fillId="0" borderId="0" xfId="0" applyFont="1" applyAlignment="1">
      <alignment vertical="center"/>
    </xf>
    <xf numFmtId="0" fontId="8" fillId="0" borderId="0" xfId="0" applyFont="1" applyAlignment="1">
      <alignment vertical="center"/>
    </xf>
    <xf numFmtId="3" fontId="5" fillId="0" borderId="4" xfId="1" applyNumberFormat="1" applyFont="1" applyFill="1" applyBorder="1" applyAlignment="1">
      <alignment vertical="center" wrapText="1"/>
    </xf>
    <xf numFmtId="0" fontId="7" fillId="0" borderId="4" xfId="0" applyFont="1" applyBorder="1" applyAlignment="1">
      <alignment horizontal="left" vertical="distributed" wrapText="1"/>
    </xf>
    <xf numFmtId="0" fontId="1" fillId="2" borderId="4" xfId="0" applyFont="1" applyFill="1" applyBorder="1" applyAlignment="1">
      <alignment vertical="distributed" wrapText="1"/>
    </xf>
    <xf numFmtId="0" fontId="1" fillId="0" borderId="4" xfId="0" applyFont="1" applyBorder="1" applyAlignment="1">
      <alignment vertical="distributed" wrapText="1"/>
    </xf>
    <xf numFmtId="0" fontId="5" fillId="0" borderId="4" xfId="0" applyFont="1" applyBorder="1" applyAlignment="1">
      <alignment vertical="distributed" wrapText="1"/>
    </xf>
    <xf numFmtId="0" fontId="12" fillId="0" borderId="0" xfId="0" applyFont="1" applyAlignment="1">
      <alignment horizontal="right" vertical="center"/>
    </xf>
    <xf numFmtId="0" fontId="27" fillId="0" borderId="0" xfId="0" applyFont="1" applyAlignment="1">
      <alignment horizontal="right" vertical="center"/>
    </xf>
    <xf numFmtId="3" fontId="12" fillId="0" borderId="3" xfId="0" applyNumberFormat="1" applyFont="1" applyBorder="1" applyAlignment="1">
      <alignment vertical="center"/>
    </xf>
    <xf numFmtId="0" fontId="12" fillId="0" borderId="3" xfId="0" applyFont="1" applyBorder="1" applyAlignment="1">
      <alignment vertical="center"/>
    </xf>
    <xf numFmtId="0" fontId="12" fillId="2" borderId="4" xfId="0" applyFont="1" applyFill="1" applyBorder="1" applyAlignment="1">
      <alignment horizontal="center" vertical="center"/>
    </xf>
    <xf numFmtId="0" fontId="12" fillId="2" borderId="4" xfId="0" applyFont="1" applyFill="1" applyBorder="1" applyAlignment="1">
      <alignment vertical="center"/>
    </xf>
    <xf numFmtId="3" fontId="12" fillId="2" borderId="4" xfId="0" applyNumberFormat="1" applyFont="1" applyFill="1" applyBorder="1" applyAlignment="1">
      <alignment vertical="center"/>
    </xf>
    <xf numFmtId="0" fontId="12" fillId="0" borderId="4" xfId="0" applyFont="1" applyBorder="1" applyAlignment="1">
      <alignment vertical="center" wrapText="1"/>
    </xf>
    <xf numFmtId="3" fontId="12" fillId="0" borderId="4" xfId="1" applyNumberFormat="1" applyFont="1" applyBorder="1" applyAlignment="1">
      <alignment vertical="center"/>
    </xf>
    <xf numFmtId="0" fontId="12" fillId="0" borderId="4" xfId="0" applyFont="1" applyBorder="1" applyAlignment="1">
      <alignment vertical="center"/>
    </xf>
    <xf numFmtId="0" fontId="1" fillId="4" borderId="13" xfId="0" applyFont="1" applyFill="1" applyBorder="1" applyAlignment="1">
      <alignment horizontal="center" vertical="center"/>
    </xf>
    <xf numFmtId="0" fontId="0" fillId="4" borderId="4" xfId="0" applyFill="1" applyBorder="1" applyAlignment="1">
      <alignment horizontal="center" vertical="center"/>
    </xf>
    <xf numFmtId="0" fontId="0" fillId="4" borderId="4" xfId="0" applyFill="1" applyBorder="1" applyAlignment="1">
      <alignment vertical="center"/>
    </xf>
    <xf numFmtId="3" fontId="0" fillId="4" borderId="4" xfId="1" applyNumberFormat="1" applyFont="1" applyFill="1" applyBorder="1" applyAlignment="1">
      <alignment vertical="center"/>
    </xf>
    <xf numFmtId="0" fontId="0" fillId="0" borderId="5" xfId="0" applyBorder="1" applyAlignment="1">
      <alignment horizontal="center" vertical="center"/>
    </xf>
    <xf numFmtId="0" fontId="0" fillId="0" borderId="5" xfId="0" applyBorder="1" applyAlignment="1">
      <alignment vertical="center" wrapText="1"/>
    </xf>
    <xf numFmtId="3" fontId="0" fillId="0" borderId="5" xfId="0" applyNumberFormat="1" applyBorder="1" applyAlignment="1">
      <alignment vertical="center"/>
    </xf>
    <xf numFmtId="0" fontId="17" fillId="0" borderId="7" xfId="0" applyFont="1" applyBorder="1" applyAlignment="1">
      <alignment horizontal="center" vertical="center"/>
    </xf>
    <xf numFmtId="0" fontId="17" fillId="0" borderId="7" xfId="0" applyFont="1" applyBorder="1" applyAlignment="1">
      <alignment horizontal="center" vertical="center" wrapText="1"/>
    </xf>
    <xf numFmtId="0" fontId="12" fillId="4" borderId="4" xfId="0" applyFont="1" applyFill="1" applyBorder="1" applyAlignment="1">
      <alignment horizontal="center" vertical="center" wrapText="1"/>
    </xf>
    <xf numFmtId="0" fontId="12" fillId="4" borderId="4" xfId="0" applyFont="1" applyFill="1" applyBorder="1" applyAlignment="1">
      <alignment vertical="center" wrapText="1"/>
    </xf>
    <xf numFmtId="3" fontId="12" fillId="4" borderId="4" xfId="1" applyNumberFormat="1" applyFont="1" applyFill="1" applyBorder="1" applyAlignment="1">
      <alignment vertical="center"/>
    </xf>
    <xf numFmtId="0" fontId="0" fillId="4" borderId="4" xfId="0" applyFill="1" applyBorder="1" applyAlignment="1">
      <alignment horizontal="center" vertical="center" wrapText="1"/>
    </xf>
    <xf numFmtId="0" fontId="0" fillId="4" borderId="4" xfId="0" applyFill="1" applyBorder="1" applyAlignment="1">
      <alignment vertical="center" wrapText="1"/>
    </xf>
    <xf numFmtId="3" fontId="0" fillId="4" borderId="4" xfId="0" applyNumberFormat="1" applyFill="1" applyBorder="1" applyAlignment="1">
      <alignment vertical="center" wrapText="1"/>
    </xf>
    <xf numFmtId="3" fontId="9" fillId="4" borderId="4" xfId="0" applyNumberFormat="1" applyFont="1" applyFill="1" applyBorder="1" applyAlignment="1">
      <alignment vertical="center" wrapText="1"/>
    </xf>
    <xf numFmtId="169" fontId="12" fillId="4" borderId="4" xfId="1" applyNumberFormat="1" applyFont="1" applyFill="1" applyBorder="1" applyAlignment="1">
      <alignment vertical="center"/>
    </xf>
    <xf numFmtId="0" fontId="8" fillId="4" borderId="4" xfId="0" applyFont="1" applyFill="1" applyBorder="1" applyAlignment="1">
      <alignment horizontal="left" vertical="center" wrapText="1"/>
    </xf>
    <xf numFmtId="3" fontId="8" fillId="0" borderId="4" xfId="0" applyNumberFormat="1" applyFont="1" applyBorder="1" applyAlignment="1">
      <alignment vertical="center"/>
    </xf>
    <xf numFmtId="3" fontId="8" fillId="0" borderId="4" xfId="1" applyNumberFormat="1" applyFont="1" applyBorder="1" applyAlignment="1">
      <alignment vertical="center"/>
    </xf>
    <xf numFmtId="0" fontId="7" fillId="4" borderId="4" xfId="0" applyFont="1" applyFill="1" applyBorder="1" applyAlignment="1">
      <alignment horizontal="left" vertical="center" wrapText="1"/>
    </xf>
    <xf numFmtId="3" fontId="7" fillId="4" borderId="4" xfId="1" applyNumberFormat="1" applyFont="1" applyFill="1" applyBorder="1" applyAlignment="1">
      <alignment vertical="center"/>
    </xf>
    <xf numFmtId="3" fontId="8" fillId="4" borderId="4" xfId="1" applyNumberFormat="1" applyFont="1" applyFill="1" applyBorder="1" applyAlignment="1">
      <alignment vertical="center"/>
    </xf>
    <xf numFmtId="0" fontId="8" fillId="4" borderId="4" xfId="0" applyFont="1" applyFill="1" applyBorder="1" applyAlignment="1">
      <alignment horizontal="center" vertical="center" wrapText="1"/>
    </xf>
    <xf numFmtId="0" fontId="31" fillId="4" borderId="4" xfId="0" applyFont="1" applyFill="1" applyBorder="1" applyAlignment="1">
      <alignment horizontal="left" vertical="center" wrapText="1"/>
    </xf>
    <xf numFmtId="0" fontId="7" fillId="0" borderId="5" xfId="0" applyFont="1" applyBorder="1" applyAlignment="1">
      <alignment horizontal="center" vertical="center"/>
    </xf>
    <xf numFmtId="3" fontId="7" fillId="0" borderId="5" xfId="0" applyNumberFormat="1" applyFont="1" applyBorder="1" applyAlignment="1">
      <alignment vertical="center"/>
    </xf>
    <xf numFmtId="0" fontId="0" fillId="0" borderId="7" xfId="0" applyBorder="1" applyAlignment="1">
      <alignment horizontal="center" vertical="center"/>
    </xf>
    <xf numFmtId="0" fontId="0" fillId="0" borderId="7" xfId="0" applyBorder="1" applyAlignment="1">
      <alignment horizontal="center" vertical="center" wrapText="1"/>
    </xf>
    <xf numFmtId="0" fontId="12" fillId="0" borderId="4" xfId="0" applyFont="1" applyBorder="1" applyAlignment="1">
      <alignment horizontal="center" vertical="center"/>
    </xf>
    <xf numFmtId="0" fontId="6" fillId="0" borderId="4" xfId="0" applyFont="1" applyBorder="1" applyAlignment="1">
      <alignment vertical="center" wrapText="1"/>
    </xf>
    <xf numFmtId="3" fontId="12" fillId="0" borderId="4" xfId="1" applyNumberFormat="1" applyFont="1" applyBorder="1" applyAlignment="1">
      <alignment horizontal="right" vertical="center"/>
    </xf>
    <xf numFmtId="3" fontId="0" fillId="0" borderId="4" xfId="1" applyNumberFormat="1" applyFont="1" applyBorder="1" applyAlignment="1">
      <alignment horizontal="right" vertical="center"/>
    </xf>
    <xf numFmtId="0" fontId="0" fillId="0" borderId="4" xfId="4" applyFont="1" applyBorder="1" applyAlignment="1">
      <alignment vertical="center" wrapText="1"/>
    </xf>
    <xf numFmtId="0" fontId="12" fillId="4" borderId="4" xfId="0" applyFont="1" applyFill="1" applyBorder="1" applyAlignment="1">
      <alignment horizontal="left" vertical="center" wrapText="1"/>
    </xf>
    <xf numFmtId="3" fontId="0" fillId="4" borderId="4" xfId="0" applyNumberFormat="1" applyFill="1" applyBorder="1" applyAlignment="1">
      <alignment vertical="center"/>
    </xf>
    <xf numFmtId="0" fontId="27" fillId="4" borderId="4" xfId="0" applyFont="1" applyFill="1" applyBorder="1" applyAlignment="1">
      <alignment horizontal="center" vertical="center" wrapText="1"/>
    </xf>
    <xf numFmtId="0" fontId="0" fillId="4" borderId="4" xfId="0" applyFill="1" applyBorder="1" applyAlignment="1">
      <alignment horizontal="justify" vertical="center" wrapText="1"/>
    </xf>
    <xf numFmtId="3" fontId="0" fillId="0" borderId="4" xfId="0" applyNumberFormat="1" applyBorder="1" applyAlignment="1">
      <alignment vertical="center" wrapText="1"/>
    </xf>
    <xf numFmtId="3" fontId="12" fillId="4" borderId="4" xfId="0" applyNumberFormat="1" applyFont="1" applyFill="1" applyBorder="1" applyAlignment="1">
      <alignment vertical="center" wrapText="1"/>
    </xf>
    <xf numFmtId="0" fontId="0" fillId="4" borderId="4" xfId="0" applyFill="1" applyBorder="1" applyAlignment="1">
      <alignment horizontal="justify" vertical="center"/>
    </xf>
    <xf numFmtId="0" fontId="0" fillId="4" borderId="4" xfId="2" applyFont="1" applyFill="1" applyBorder="1" applyAlignment="1">
      <alignment horizontal="justify" vertical="center" wrapText="1"/>
    </xf>
    <xf numFmtId="3" fontId="12" fillId="0" borderId="4" xfId="0" applyNumberFormat="1" applyFont="1" applyBorder="1" applyAlignment="1">
      <alignment vertical="center"/>
    </xf>
    <xf numFmtId="0" fontId="9" fillId="4" borderId="4" xfId="0" applyFont="1" applyFill="1" applyBorder="1" applyAlignment="1">
      <alignment horizontal="left" vertical="center" wrapText="1"/>
    </xf>
    <xf numFmtId="0" fontId="6" fillId="4" borderId="4" xfId="0" applyFont="1" applyFill="1" applyBorder="1" applyAlignment="1">
      <alignment horizontal="left" vertical="center" wrapText="1"/>
    </xf>
    <xf numFmtId="0" fontId="0" fillId="4" borderId="4" xfId="0" applyFill="1" applyBorder="1" applyAlignment="1">
      <alignment horizontal="left" vertical="center" wrapText="1"/>
    </xf>
    <xf numFmtId="0" fontId="12" fillId="0" borderId="4" xfId="0" applyFont="1" applyBorder="1" applyAlignment="1">
      <alignment horizontal="left" vertical="center" wrapText="1"/>
    </xf>
    <xf numFmtId="0" fontId="0" fillId="0" borderId="4" xfId="0" applyBorder="1" applyAlignment="1">
      <alignment horizontal="left" vertical="center" wrapText="1"/>
    </xf>
    <xf numFmtId="3" fontId="0" fillId="0" borderId="4" xfId="1" applyNumberFormat="1" applyFont="1" applyBorder="1" applyAlignment="1">
      <alignment horizontal="right"/>
    </xf>
    <xf numFmtId="3" fontId="9" fillId="4" borderId="4" xfId="1" applyNumberFormat="1" applyFont="1" applyFill="1" applyBorder="1" applyAlignment="1">
      <alignment vertical="center" wrapText="1"/>
    </xf>
    <xf numFmtId="3" fontId="0" fillId="4" borderId="4" xfId="1" applyNumberFormat="1" applyFont="1" applyFill="1" applyBorder="1" applyAlignment="1">
      <alignment vertical="center" wrapText="1"/>
    </xf>
    <xf numFmtId="0" fontId="12" fillId="6" borderId="4" xfId="0" applyFont="1" applyFill="1" applyBorder="1" applyAlignment="1">
      <alignment horizontal="center" vertical="center"/>
    </xf>
    <xf numFmtId="0" fontId="12" fillId="6" borderId="4" xfId="0" applyFont="1" applyFill="1" applyBorder="1" applyAlignment="1">
      <alignment vertical="center" wrapText="1"/>
    </xf>
    <xf numFmtId="3" fontId="12" fillId="6" borderId="4" xfId="0" applyNumberFormat="1" applyFont="1" applyFill="1" applyBorder="1" applyAlignment="1">
      <alignment vertical="center"/>
    </xf>
    <xf numFmtId="0" fontId="0" fillId="6" borderId="4" xfId="0" applyFill="1" applyBorder="1" applyAlignment="1">
      <alignment vertical="center"/>
    </xf>
    <xf numFmtId="0" fontId="12" fillId="6" borderId="4" xfId="0" applyFont="1" applyFill="1" applyBorder="1" applyAlignment="1">
      <alignment vertical="center"/>
    </xf>
    <xf numFmtId="0" fontId="12" fillId="4" borderId="4" xfId="0" applyFont="1" applyFill="1" applyBorder="1" applyAlignment="1">
      <alignment horizontal="justify" vertical="center" wrapText="1"/>
    </xf>
    <xf numFmtId="0" fontId="12" fillId="4" borderId="4" xfId="0" applyFont="1" applyFill="1" applyBorder="1" applyAlignment="1">
      <alignment horizontal="justify" vertical="center"/>
    </xf>
    <xf numFmtId="0" fontId="27" fillId="4" borderId="4" xfId="0" quotePrefix="1" applyFont="1" applyFill="1" applyBorder="1" applyAlignment="1">
      <alignment horizontal="center" vertical="center"/>
    </xf>
    <xf numFmtId="0" fontId="12" fillId="4" borderId="4" xfId="0" applyFont="1" applyFill="1" applyBorder="1" applyAlignment="1">
      <alignment vertical="center"/>
    </xf>
    <xf numFmtId="0" fontId="12" fillId="6" borderId="4" xfId="0" quotePrefix="1" applyFont="1" applyFill="1" applyBorder="1" applyAlignment="1">
      <alignment horizontal="center" vertical="center"/>
    </xf>
    <xf numFmtId="3" fontId="12" fillId="6" borderId="4" xfId="1" applyNumberFormat="1" applyFont="1" applyFill="1" applyBorder="1" applyAlignment="1">
      <alignment vertical="center"/>
    </xf>
    <xf numFmtId="0" fontId="9" fillId="0" borderId="4" xfId="0" applyFont="1" applyBorder="1" applyAlignment="1">
      <alignment horizontal="justify" vertical="center" wrapText="1"/>
    </xf>
    <xf numFmtId="3" fontId="9" fillId="0" borderId="4" xfId="1" applyNumberFormat="1" applyFont="1" applyFill="1" applyBorder="1" applyAlignment="1">
      <alignment vertical="center" wrapText="1"/>
    </xf>
    <xf numFmtId="0" fontId="9" fillId="4" borderId="4" xfId="0" applyFont="1" applyFill="1" applyBorder="1" applyAlignment="1">
      <alignment horizontal="justify" vertical="center" wrapText="1"/>
    </xf>
    <xf numFmtId="0" fontId="0" fillId="4" borderId="4" xfId="0" quotePrefix="1" applyFill="1" applyBorder="1" applyAlignment="1">
      <alignment horizontal="center" vertical="center"/>
    </xf>
    <xf numFmtId="0" fontId="6" fillId="0" borderId="4" xfId="0" applyFont="1" applyBorder="1" applyAlignment="1">
      <alignment horizontal="justify" vertical="center" wrapText="1"/>
    </xf>
    <xf numFmtId="0" fontId="6" fillId="4" borderId="4" xfId="0" quotePrefix="1" applyFont="1" applyFill="1" applyBorder="1" applyAlignment="1">
      <alignment horizontal="center" vertical="center" wrapText="1"/>
    </xf>
    <xf numFmtId="0" fontId="6" fillId="4" borderId="4" xfId="0" applyFont="1" applyFill="1" applyBorder="1" applyAlignment="1">
      <alignment horizontal="justify" vertical="center" wrapText="1"/>
    </xf>
    <xf numFmtId="3" fontId="6" fillId="4" borderId="4" xfId="0" applyNumberFormat="1" applyFont="1" applyFill="1" applyBorder="1" applyAlignment="1">
      <alignment vertical="center" wrapText="1"/>
    </xf>
    <xf numFmtId="0" fontId="9" fillId="4" borderId="4" xfId="0" quotePrefix="1" applyFont="1" applyFill="1" applyBorder="1" applyAlignment="1">
      <alignment horizontal="center" vertical="center" wrapText="1"/>
    </xf>
    <xf numFmtId="0" fontId="6" fillId="4" borderId="4" xfId="14" applyFont="1" applyFill="1" applyBorder="1" applyAlignment="1">
      <alignment vertical="center"/>
    </xf>
    <xf numFmtId="0" fontId="9" fillId="4" borderId="4" xfId="14" applyFont="1" applyFill="1" applyBorder="1" applyAlignment="1">
      <alignment horizontal="justify" vertical="center" wrapText="1"/>
    </xf>
    <xf numFmtId="0" fontId="9" fillId="4" borderId="4" xfId="15" applyFont="1" applyFill="1" applyBorder="1" applyAlignment="1">
      <alignment horizontal="justify" vertical="center" wrapText="1"/>
    </xf>
    <xf numFmtId="0" fontId="6" fillId="4" borderId="4" xfId="14" applyFont="1" applyFill="1" applyBorder="1" applyAlignment="1">
      <alignment vertical="center" wrapText="1"/>
    </xf>
    <xf numFmtId="0" fontId="0" fillId="0" borderId="4" xfId="0" applyBorder="1" applyAlignment="1">
      <alignment wrapText="1"/>
    </xf>
    <xf numFmtId="3" fontId="1" fillId="6" borderId="4" xfId="1" applyNumberFormat="1" applyFont="1" applyFill="1" applyBorder="1" applyAlignment="1">
      <alignment vertical="center"/>
    </xf>
    <xf numFmtId="3" fontId="12" fillId="0" borderId="4" xfId="13" applyNumberFormat="1" applyFont="1" applyBorder="1" applyAlignment="1">
      <alignment horizontal="left" vertical="center" wrapText="1"/>
    </xf>
    <xf numFmtId="3" fontId="0" fillId="0" borderId="4" xfId="13" applyNumberFormat="1" applyFont="1" applyBorder="1" applyAlignment="1">
      <alignment vertical="center" wrapText="1"/>
    </xf>
    <xf numFmtId="3" fontId="0" fillId="0" borderId="4" xfId="1" applyNumberFormat="1" applyFont="1" applyBorder="1" applyAlignment="1">
      <alignment vertical="center" wrapText="1"/>
    </xf>
    <xf numFmtId="0" fontId="0" fillId="0" borderId="4" xfId="13" applyFont="1" applyBorder="1" applyAlignment="1">
      <alignment vertical="center" wrapText="1"/>
    </xf>
    <xf numFmtId="0" fontId="12" fillId="0" borderId="4" xfId="13" applyFont="1" applyBorder="1" applyAlignment="1">
      <alignment horizontal="left" vertical="center" wrapText="1"/>
    </xf>
    <xf numFmtId="3" fontId="9" fillId="0" borderId="4" xfId="1" applyNumberFormat="1" applyFont="1" applyBorder="1" applyAlignment="1">
      <alignment vertical="center" wrapText="1"/>
    </xf>
    <xf numFmtId="3" fontId="0" fillId="4" borderId="4" xfId="13" applyNumberFormat="1" applyFont="1" applyFill="1" applyBorder="1" applyAlignment="1">
      <alignment vertical="center" wrapText="1"/>
    </xf>
    <xf numFmtId="0" fontId="0" fillId="8" borderId="4" xfId="13" applyFont="1" applyFill="1" applyBorder="1" applyAlignment="1">
      <alignment vertical="center" wrapText="1"/>
    </xf>
    <xf numFmtId="0" fontId="12" fillId="8" borderId="4" xfId="13" applyFont="1" applyFill="1" applyBorder="1" applyAlignment="1">
      <alignment horizontal="left" vertical="center" wrapText="1"/>
    </xf>
    <xf numFmtId="3" fontId="12" fillId="0" borderId="4" xfId="13" applyNumberFormat="1" applyFont="1" applyBorder="1" applyAlignment="1">
      <alignment vertical="center" wrapText="1"/>
    </xf>
    <xf numFmtId="3" fontId="0" fillId="0" borderId="5" xfId="1" applyNumberFormat="1" applyFont="1" applyBorder="1" applyAlignment="1">
      <alignment vertical="center"/>
    </xf>
    <xf numFmtId="3" fontId="12" fillId="0" borderId="0" xfId="0" applyNumberFormat="1" applyFont="1" applyAlignment="1">
      <alignment vertical="center"/>
    </xf>
    <xf numFmtId="0" fontId="12" fillId="0" borderId="4" xfId="2" applyFont="1" applyBorder="1" applyAlignment="1">
      <alignment horizontal="left" vertical="center"/>
    </xf>
    <xf numFmtId="0" fontId="0" fillId="0" borderId="4" xfId="2" applyFont="1" applyBorder="1" applyAlignment="1">
      <alignment horizontal="left" vertical="center"/>
    </xf>
    <xf numFmtId="0" fontId="0" fillId="0" borderId="4" xfId="0" applyBorder="1" applyAlignment="1">
      <alignment horizontal="justify" vertical="center" wrapText="1"/>
    </xf>
    <xf numFmtId="0" fontId="0" fillId="0" borderId="4" xfId="5" applyFont="1" applyBorder="1" applyAlignment="1">
      <alignment horizontal="justify" vertical="center" wrapText="1"/>
    </xf>
    <xf numFmtId="0" fontId="0" fillId="0" borderId="4" xfId="2" applyFont="1" applyBorder="1" applyAlignment="1">
      <alignment horizontal="justify" vertical="center" wrapText="1"/>
    </xf>
    <xf numFmtId="0" fontId="0" fillId="0" borderId="4" xfId="6" applyFont="1" applyBorder="1" applyAlignment="1">
      <alignment horizontal="justify" vertical="center" wrapText="1"/>
    </xf>
    <xf numFmtId="0" fontId="0" fillId="0" borderId="4" xfId="7" applyFont="1" applyBorder="1" applyAlignment="1">
      <alignment vertical="center" wrapText="1"/>
    </xf>
    <xf numFmtId="0" fontId="33" fillId="0" borderId="4" xfId="2" applyFont="1" applyBorder="1" applyAlignment="1">
      <alignment horizontal="left" vertical="center" wrapText="1"/>
    </xf>
    <xf numFmtId="0" fontId="33" fillId="0" borderId="4" xfId="0" applyFont="1" applyBorder="1" applyAlignment="1">
      <alignment horizontal="left" vertical="center" wrapText="1"/>
    </xf>
    <xf numFmtId="0" fontId="0" fillId="0" borderId="4" xfId="2" applyFont="1" applyBorder="1" applyAlignment="1">
      <alignment horizontal="left" vertical="center" wrapText="1"/>
    </xf>
    <xf numFmtId="0" fontId="0" fillId="0" borderId="4" xfId="8" applyFont="1" applyBorder="1" applyAlignment="1">
      <alignment wrapText="1"/>
    </xf>
    <xf numFmtId="0" fontId="0" fillId="0" borderId="4" xfId="9" applyFont="1" applyBorder="1" applyAlignment="1">
      <alignment horizontal="justify" vertical="center" wrapText="1"/>
    </xf>
    <xf numFmtId="0" fontId="33" fillId="0" borderId="4" xfId="0" applyFont="1" applyBorder="1" applyAlignment="1">
      <alignment vertical="center" wrapText="1"/>
    </xf>
    <xf numFmtId="0" fontId="0" fillId="0" borderId="4" xfId="10" applyFont="1" applyBorder="1" applyAlignment="1">
      <alignment vertical="center"/>
    </xf>
    <xf numFmtId="0" fontId="0" fillId="0" borderId="4" xfId="10" applyFont="1" applyBorder="1" applyAlignment="1">
      <alignment vertical="center" wrapText="1"/>
    </xf>
    <xf numFmtId="0" fontId="0" fillId="0" borderId="4" xfId="11" applyFont="1" applyBorder="1" applyAlignment="1">
      <alignment vertical="center" wrapText="1"/>
    </xf>
    <xf numFmtId="0" fontId="0" fillId="0" borderId="4" xfId="12" applyFont="1" applyBorder="1" applyAlignment="1">
      <alignment vertical="center" wrapText="1"/>
    </xf>
    <xf numFmtId="0" fontId="33" fillId="0" borderId="4" xfId="0" applyFont="1" applyBorder="1" applyAlignment="1">
      <alignment wrapText="1"/>
    </xf>
    <xf numFmtId="0" fontId="0" fillId="0" borderId="4" xfId="13" applyFont="1" applyBorder="1" applyAlignment="1">
      <alignment vertical="center"/>
    </xf>
    <xf numFmtId="0" fontId="0" fillId="0" borderId="0" xfId="0" applyAlignment="1">
      <alignment vertical="center" wrapText="1"/>
    </xf>
    <xf numFmtId="0" fontId="6" fillId="0" borderId="0" xfId="0" applyFont="1" applyAlignment="1">
      <alignment vertical="center"/>
    </xf>
    <xf numFmtId="0" fontId="9" fillId="0" borderId="0" xfId="0" applyFont="1" applyAlignment="1">
      <alignment vertical="center"/>
    </xf>
    <xf numFmtId="165" fontId="0" fillId="0" borderId="4" xfId="1" applyNumberFormat="1" applyFont="1" applyFill="1" applyBorder="1" applyAlignment="1">
      <alignment vertical="center"/>
    </xf>
    <xf numFmtId="0" fontId="0" fillId="0" borderId="5" xfId="0" applyBorder="1" applyAlignment="1">
      <alignment vertical="center"/>
    </xf>
    <xf numFmtId="0" fontId="5" fillId="0" borderId="5" xfId="0" applyFont="1" applyBorder="1" applyAlignment="1">
      <alignment horizontal="left" vertical="center" wrapText="1"/>
    </xf>
    <xf numFmtId="165" fontId="0" fillId="0" borderId="5" xfId="1" applyNumberFormat="1" applyFont="1" applyFill="1" applyBorder="1" applyAlignment="1">
      <alignment vertical="center"/>
    </xf>
    <xf numFmtId="0" fontId="0" fillId="2" borderId="4" xfId="0" applyFill="1" applyBorder="1" applyAlignment="1">
      <alignment vertical="center"/>
    </xf>
    <xf numFmtId="169" fontId="12" fillId="0" borderId="4" xfId="0" applyNumberFormat="1" applyFont="1" applyBorder="1" applyAlignment="1">
      <alignment vertical="center"/>
    </xf>
    <xf numFmtId="169" fontId="5" fillId="0" borderId="4" xfId="0" applyNumberFormat="1" applyFont="1" applyBorder="1" applyAlignment="1">
      <alignment vertical="center"/>
    </xf>
    <xf numFmtId="169" fontId="5" fillId="0" borderId="4" xfId="1" applyNumberFormat="1" applyFont="1" applyFill="1" applyBorder="1" applyAlignment="1">
      <alignment vertical="center"/>
    </xf>
    <xf numFmtId="169" fontId="0" fillId="0" borderId="4" xfId="1" applyNumberFormat="1" applyFont="1" applyFill="1" applyBorder="1" applyAlignment="1">
      <alignment vertical="center"/>
    </xf>
    <xf numFmtId="169" fontId="0" fillId="0" borderId="4" xfId="0" applyNumberFormat="1" applyBorder="1" applyAlignment="1">
      <alignment vertical="center"/>
    </xf>
    <xf numFmtId="169" fontId="0" fillId="0" borderId="5" xfId="1" applyNumberFormat="1" applyFont="1" applyFill="1" applyBorder="1" applyAlignment="1">
      <alignment vertical="center"/>
    </xf>
    <xf numFmtId="0" fontId="12" fillId="2" borderId="4" xfId="0" applyFont="1" applyFill="1" applyBorder="1" applyAlignment="1">
      <alignment vertical="center" wrapText="1"/>
    </xf>
    <xf numFmtId="169" fontId="12" fillId="2" borderId="4" xfId="0" applyNumberFormat="1" applyFont="1" applyFill="1" applyBorder="1" applyAlignment="1">
      <alignment vertical="center"/>
    </xf>
    <xf numFmtId="169" fontId="5" fillId="2" borderId="4" xfId="0" applyNumberFormat="1" applyFont="1" applyFill="1" applyBorder="1" applyAlignment="1">
      <alignment vertical="center" wrapText="1"/>
    </xf>
    <xf numFmtId="3" fontId="1" fillId="0" borderId="4" xfId="1" applyNumberFormat="1" applyFont="1" applyFill="1" applyBorder="1" applyAlignment="1">
      <alignment vertical="center"/>
    </xf>
    <xf numFmtId="3" fontId="0" fillId="0" borderId="5" xfId="1" applyNumberFormat="1" applyFont="1" applyFill="1" applyBorder="1" applyAlignment="1">
      <alignment vertical="center"/>
    </xf>
    <xf numFmtId="3" fontId="5" fillId="0" borderId="4" xfId="1" applyNumberFormat="1" applyFont="1" applyFill="1" applyBorder="1" applyAlignment="1">
      <alignment vertical="center"/>
    </xf>
    <xf numFmtId="3" fontId="0" fillId="0" borderId="4" xfId="1" applyNumberFormat="1" applyFont="1" applyFill="1" applyBorder="1" applyAlignment="1">
      <alignment vertical="center"/>
    </xf>
    <xf numFmtId="3" fontId="5" fillId="0" borderId="5" xfId="0" applyNumberFormat="1" applyFont="1" applyBorder="1" applyAlignment="1">
      <alignment vertical="center"/>
    </xf>
    <xf numFmtId="0" fontId="5" fillId="0" borderId="5" xfId="0" applyFont="1" applyBorder="1" applyAlignment="1">
      <alignment horizontal="center" vertical="center"/>
    </xf>
    <xf numFmtId="3" fontId="12" fillId="0" borderId="5" xfId="0" applyNumberFormat="1" applyFont="1" applyBorder="1" applyAlignment="1">
      <alignment vertical="center"/>
    </xf>
    <xf numFmtId="3" fontId="1" fillId="4" borderId="4" xfId="1" applyNumberFormat="1" applyFont="1" applyFill="1" applyBorder="1" applyAlignment="1">
      <alignment vertical="center"/>
    </xf>
    <xf numFmtId="0" fontId="12" fillId="0" borderId="4" xfId="0" applyFont="1" applyBorder="1" applyAlignment="1">
      <alignment horizontal="justify" vertical="center" wrapText="1"/>
    </xf>
    <xf numFmtId="3" fontId="12" fillId="0" borderId="4" xfId="1" applyNumberFormat="1" applyFont="1" applyFill="1" applyBorder="1" applyAlignment="1">
      <alignment vertical="center"/>
    </xf>
    <xf numFmtId="0" fontId="12" fillId="0" borderId="4" xfId="0" applyFont="1" applyBorder="1" applyAlignment="1">
      <alignment horizontal="center" vertical="center" wrapText="1"/>
    </xf>
    <xf numFmtId="0" fontId="0" fillId="0" borderId="5" xfId="0" applyBorder="1" applyAlignment="1">
      <alignment horizontal="center" vertical="center" wrapText="1"/>
    </xf>
    <xf numFmtId="3" fontId="0" fillId="0" borderId="5" xfId="0" applyNumberFormat="1" applyBorder="1" applyAlignment="1">
      <alignment vertical="center" wrapText="1"/>
    </xf>
    <xf numFmtId="0" fontId="20" fillId="0" borderId="4" xfId="0" applyFont="1" applyBorder="1" applyAlignment="1">
      <alignment vertical="center" wrapText="1"/>
    </xf>
    <xf numFmtId="3" fontId="5" fillId="4" borderId="4" xfId="1" applyNumberFormat="1" applyFont="1" applyFill="1" applyBorder="1" applyAlignment="1">
      <alignment vertical="center"/>
    </xf>
    <xf numFmtId="0" fontId="1" fillId="4" borderId="4" xfId="0" applyFont="1" applyFill="1" applyBorder="1" applyAlignment="1">
      <alignment horizontal="center" vertical="center" wrapText="1"/>
    </xf>
    <xf numFmtId="0" fontId="22" fillId="0" borderId="4" xfId="0" applyFont="1" applyBorder="1" applyAlignment="1">
      <alignment vertical="center" wrapText="1"/>
    </xf>
    <xf numFmtId="3" fontId="0" fillId="0" borderId="4" xfId="1" applyNumberFormat="1" applyFont="1" applyFill="1" applyBorder="1" applyAlignment="1">
      <alignment horizontal="right" vertical="center"/>
    </xf>
    <xf numFmtId="3" fontId="12" fillId="0" borderId="4" xfId="1" applyNumberFormat="1" applyFont="1" applyFill="1" applyBorder="1" applyAlignment="1">
      <alignment horizontal="right" vertical="center"/>
    </xf>
    <xf numFmtId="0" fontId="33" fillId="0" borderId="4" xfId="0" applyFont="1" applyBorder="1" applyAlignment="1">
      <alignment horizontal="justify" vertical="center"/>
    </xf>
    <xf numFmtId="0" fontId="12" fillId="0" borderId="4" xfId="0" applyFont="1" applyBorder="1" applyAlignment="1">
      <alignment horizontal="left" vertical="center"/>
    </xf>
    <xf numFmtId="0" fontId="0" fillId="0" borderId="4" xfId="0" applyBorder="1" applyAlignment="1">
      <alignment horizontal="justify" vertical="center"/>
    </xf>
    <xf numFmtId="0" fontId="0" fillId="0" borderId="4" xfId="0" applyBorder="1" applyAlignment="1">
      <alignment horizontal="center" vertical="center" wrapText="1"/>
    </xf>
    <xf numFmtId="3" fontId="0" fillId="0" borderId="5" xfId="1" applyNumberFormat="1" applyFont="1" applyFill="1" applyBorder="1" applyAlignment="1">
      <alignment horizontal="right" vertical="center"/>
    </xf>
    <xf numFmtId="3" fontId="5" fillId="0" borderId="4" xfId="16" applyNumberFormat="1" applyFont="1" applyBorder="1" applyAlignment="1">
      <alignment vertical="center" wrapText="1"/>
    </xf>
    <xf numFmtId="3" fontId="5" fillId="0" borderId="4" xfId="16" applyNumberFormat="1" applyFont="1" applyBorder="1" applyAlignment="1">
      <alignment horizontal="center" vertical="center" wrapText="1"/>
    </xf>
    <xf numFmtId="0" fontId="2" fillId="0" borderId="4" xfId="0" applyFont="1" applyBorder="1" applyAlignment="1">
      <alignment vertical="center"/>
    </xf>
    <xf numFmtId="3" fontId="1" fillId="0" borderId="4" xfId="1" applyNumberFormat="1" applyFont="1" applyFill="1" applyBorder="1" applyAlignment="1">
      <alignment horizontal="right" vertical="center" wrapText="1"/>
    </xf>
    <xf numFmtId="3" fontId="5" fillId="0" borderId="4" xfId="3" applyNumberFormat="1" applyFont="1" applyFill="1" applyBorder="1" applyAlignment="1">
      <alignment vertical="center"/>
    </xf>
    <xf numFmtId="3" fontId="1" fillId="0" borderId="4" xfId="3" applyNumberFormat="1" applyFont="1" applyFill="1" applyBorder="1" applyAlignment="1">
      <alignment vertical="center"/>
    </xf>
    <xf numFmtId="3" fontId="5" fillId="0" borderId="4" xfId="0" applyNumberFormat="1" applyFont="1" applyBorder="1" applyAlignment="1">
      <alignment horizontal="right" vertical="center" wrapText="1"/>
    </xf>
    <xf numFmtId="3" fontId="5" fillId="0" borderId="4" xfId="1" applyNumberFormat="1" applyFont="1" applyFill="1" applyBorder="1" applyAlignment="1">
      <alignment horizontal="right" vertical="center" wrapText="1"/>
    </xf>
    <xf numFmtId="3" fontId="5" fillId="0" borderId="5" xfId="3" applyNumberFormat="1" applyFont="1" applyFill="1" applyBorder="1" applyAlignment="1">
      <alignment vertical="center"/>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165" fontId="8" fillId="0" borderId="0" xfId="0" applyNumberFormat="1" applyFont="1" applyAlignment="1">
      <alignment vertical="center"/>
    </xf>
    <xf numFmtId="0" fontId="7" fillId="0" borderId="0" xfId="0" applyFont="1" applyAlignment="1">
      <alignment vertical="center"/>
    </xf>
    <xf numFmtId="165" fontId="7" fillId="0" borderId="0" xfId="0" applyNumberFormat="1" applyFont="1" applyAlignment="1">
      <alignment vertical="center"/>
    </xf>
    <xf numFmtId="0" fontId="8" fillId="0" borderId="4" xfId="0" applyFont="1" applyBorder="1" applyAlignment="1">
      <alignment horizontal="left" vertical="center"/>
    </xf>
    <xf numFmtId="0" fontId="8" fillId="0" borderId="4" xfId="0" applyFont="1" applyBorder="1" applyAlignment="1">
      <alignment vertical="center"/>
    </xf>
    <xf numFmtId="3" fontId="7" fillId="0" borderId="4" xfId="1" applyNumberFormat="1" applyFont="1" applyBorder="1" applyAlignment="1">
      <alignment vertical="center"/>
    </xf>
    <xf numFmtId="0" fontId="7" fillId="0" borderId="4" xfId="0" applyFont="1" applyBorder="1" applyAlignment="1">
      <alignment vertical="center"/>
    </xf>
    <xf numFmtId="0" fontId="7" fillId="0" borderId="4" xfId="13" applyFont="1" applyBorder="1" applyAlignment="1">
      <alignment horizontal="left" vertical="center" wrapText="1"/>
    </xf>
    <xf numFmtId="0" fontId="7" fillId="0" borderId="4" xfId="13" applyFont="1" applyBorder="1" applyAlignment="1">
      <alignment vertical="center" wrapText="1"/>
    </xf>
    <xf numFmtId="0" fontId="8" fillId="0" borderId="4" xfId="13" applyFont="1" applyBorder="1" applyAlignment="1">
      <alignment vertical="center" wrapText="1"/>
    </xf>
    <xf numFmtId="0" fontId="5" fillId="3" borderId="4" xfId="0" applyFont="1" applyFill="1" applyBorder="1" applyAlignment="1">
      <alignment horizontal="justify" vertical="center" wrapText="1"/>
    </xf>
    <xf numFmtId="0" fontId="1" fillId="4" borderId="4" xfId="0" applyFont="1" applyFill="1" applyBorder="1" applyAlignment="1">
      <alignment vertical="center" wrapText="1"/>
    </xf>
    <xf numFmtId="0" fontId="0" fillId="7" borderId="4" xfId="0" applyFill="1" applyBorder="1" applyAlignment="1">
      <alignment vertical="center"/>
    </xf>
    <xf numFmtId="3" fontId="0" fillId="7" borderId="4" xfId="0" applyNumberFormat="1" applyFill="1" applyBorder="1" applyAlignment="1">
      <alignment vertical="center"/>
    </xf>
    <xf numFmtId="0" fontId="5" fillId="4" borderId="4" xfId="0" applyFont="1" applyFill="1" applyBorder="1" applyAlignment="1">
      <alignment vertical="center" wrapText="1"/>
    </xf>
    <xf numFmtId="0" fontId="22" fillId="0" borderId="4" xfId="0" applyFont="1" applyBorder="1" applyAlignment="1">
      <alignment horizontal="left" vertical="distributed"/>
    </xf>
    <xf numFmtId="0" fontId="5" fillId="0" borderId="4" xfId="0" applyFont="1" applyBorder="1" applyAlignment="1">
      <alignment horizontal="left" vertical="distributed" wrapText="1"/>
    </xf>
    <xf numFmtId="0" fontId="1" fillId="0" borderId="4" xfId="0" applyFont="1" applyBorder="1" applyAlignment="1">
      <alignment horizontal="left" vertical="distributed" wrapText="1"/>
    </xf>
    <xf numFmtId="0" fontId="5" fillId="0" borderId="4" xfId="0" applyFont="1" applyBorder="1" applyAlignment="1">
      <alignment horizontal="left" vertical="distributed"/>
    </xf>
    <xf numFmtId="0" fontId="20" fillId="0" borderId="4" xfId="0" applyFont="1" applyBorder="1" applyAlignment="1">
      <alignment horizontal="left" vertical="distributed"/>
    </xf>
    <xf numFmtId="0" fontId="5" fillId="0" borderId="4" xfId="0" applyFont="1" applyBorder="1" applyAlignment="1">
      <alignment horizontal="left" vertical="center"/>
    </xf>
    <xf numFmtId="0" fontId="8" fillId="0" borderId="4" xfId="0" applyFont="1" applyBorder="1" applyAlignment="1">
      <alignment horizontal="left" vertical="distributed" wrapText="1"/>
    </xf>
    <xf numFmtId="165" fontId="1" fillId="4" borderId="1" xfId="1" applyNumberFormat="1" applyFont="1" applyFill="1" applyBorder="1" applyAlignment="1">
      <alignment horizontal="right" vertical="center" wrapText="1"/>
    </xf>
    <xf numFmtId="0" fontId="1" fillId="4" borderId="1" xfId="0" applyFont="1" applyFill="1" applyBorder="1" applyAlignment="1">
      <alignment horizontal="center" vertical="center"/>
    </xf>
    <xf numFmtId="0" fontId="1" fillId="4" borderId="1" xfId="0" applyFont="1" applyFill="1" applyBorder="1" applyAlignment="1">
      <alignment horizontal="justify" vertical="center"/>
    </xf>
    <xf numFmtId="0" fontId="1" fillId="3" borderId="1" xfId="0" applyFont="1" applyFill="1" applyBorder="1" applyAlignment="1">
      <alignment horizontal="center" vertical="center"/>
    </xf>
    <xf numFmtId="0" fontId="1" fillId="3" borderId="1" xfId="0" applyFont="1" applyFill="1" applyBorder="1" applyAlignment="1">
      <alignment horizontal="justify" vertical="center" wrapText="1"/>
    </xf>
    <xf numFmtId="165" fontId="1" fillId="3" borderId="1" xfId="1" applyNumberFormat="1" applyFont="1" applyFill="1" applyBorder="1" applyAlignment="1">
      <alignment horizontal="right" vertical="center" wrapText="1"/>
    </xf>
    <xf numFmtId="0" fontId="1" fillId="3" borderId="1" xfId="0" applyFont="1" applyFill="1" applyBorder="1" applyAlignment="1">
      <alignment horizontal="justify" vertical="center"/>
    </xf>
    <xf numFmtId="0" fontId="5" fillId="4" borderId="13" xfId="0" applyFont="1" applyFill="1" applyBorder="1" applyAlignment="1">
      <alignment horizontal="center" vertical="center"/>
    </xf>
    <xf numFmtId="0" fontId="5" fillId="4" borderId="13" xfId="0" applyFont="1" applyFill="1" applyBorder="1" applyAlignment="1">
      <alignment horizontal="justify" vertical="center" wrapText="1"/>
    </xf>
    <xf numFmtId="165" fontId="5" fillId="4" borderId="13" xfId="1" applyNumberFormat="1" applyFont="1" applyFill="1" applyBorder="1" applyAlignment="1">
      <alignment horizontal="right" vertical="center" wrapText="1"/>
    </xf>
    <xf numFmtId="0" fontId="5" fillId="4" borderId="13" xfId="0" applyFont="1" applyFill="1" applyBorder="1" applyAlignment="1">
      <alignment horizontal="justify" vertical="center"/>
    </xf>
    <xf numFmtId="165" fontId="5" fillId="4" borderId="4" xfId="1" applyNumberFormat="1" applyFont="1" applyFill="1" applyBorder="1" applyAlignment="1">
      <alignment horizontal="center" vertical="center" wrapText="1"/>
    </xf>
    <xf numFmtId="0" fontId="5" fillId="4" borderId="12" xfId="0" quotePrefix="1" applyFont="1" applyFill="1" applyBorder="1" applyAlignment="1">
      <alignment horizontal="center" vertical="center"/>
    </xf>
    <xf numFmtId="0" fontId="5" fillId="4" borderId="12" xfId="0" applyFont="1" applyFill="1" applyBorder="1" applyAlignment="1">
      <alignment horizontal="justify" vertical="center" wrapText="1"/>
    </xf>
    <xf numFmtId="165" fontId="5" fillId="4" borderId="12" xfId="1" applyNumberFormat="1" applyFont="1" applyFill="1" applyBorder="1" applyAlignment="1">
      <alignment horizontal="right" vertical="center" wrapText="1"/>
    </xf>
    <xf numFmtId="0" fontId="5" fillId="4" borderId="12" xfId="0" applyFont="1" applyFill="1" applyBorder="1" applyAlignment="1">
      <alignment horizontal="center" vertical="center"/>
    </xf>
    <xf numFmtId="0" fontId="5" fillId="4" borderId="12" xfId="0" applyFont="1" applyFill="1" applyBorder="1" applyAlignment="1">
      <alignment horizontal="justify" vertical="center"/>
    </xf>
    <xf numFmtId="0" fontId="1" fillId="3" borderId="1" xfId="0" quotePrefix="1" applyFont="1" applyFill="1" applyBorder="1" applyAlignment="1">
      <alignment horizontal="center" vertical="center"/>
    </xf>
    <xf numFmtId="165" fontId="1" fillId="3" borderId="1" xfId="1" applyNumberFormat="1" applyFont="1" applyFill="1" applyBorder="1" applyAlignment="1">
      <alignment horizontal="center" vertical="center" wrapText="1"/>
    </xf>
    <xf numFmtId="0" fontId="5" fillId="3" borderId="1" xfId="0" applyFont="1" applyFill="1" applyBorder="1" applyAlignment="1">
      <alignment horizontal="justify" vertical="center"/>
    </xf>
    <xf numFmtId="0" fontId="1" fillId="2" borderId="1" xfId="0" quotePrefix="1" applyFont="1" applyFill="1" applyBorder="1" applyAlignment="1">
      <alignment horizontal="center" vertical="center"/>
    </xf>
    <xf numFmtId="0" fontId="1" fillId="2" borderId="1" xfId="0" applyFont="1" applyFill="1" applyBorder="1" applyAlignment="1">
      <alignment horizontal="justify" vertical="center"/>
    </xf>
    <xf numFmtId="165" fontId="1" fillId="2" borderId="1" xfId="1" applyNumberFormat="1" applyFont="1" applyFill="1" applyBorder="1" applyAlignment="1">
      <alignment horizontal="right" vertical="center" wrapText="1"/>
    </xf>
    <xf numFmtId="0" fontId="5" fillId="2" borderId="1" xfId="0" applyFont="1" applyFill="1" applyBorder="1" applyAlignment="1">
      <alignment horizontal="justify" vertical="center"/>
    </xf>
    <xf numFmtId="0" fontId="1" fillId="6" borderId="1" xfId="0" quotePrefix="1" applyFont="1" applyFill="1" applyBorder="1" applyAlignment="1">
      <alignment horizontal="center" vertical="center"/>
    </xf>
    <xf numFmtId="0" fontId="1" fillId="6" borderId="1" xfId="0" applyFont="1" applyFill="1" applyBorder="1" applyAlignment="1">
      <alignment horizontal="justify" vertical="center"/>
    </xf>
    <xf numFmtId="165" fontId="1" fillId="6" borderId="1" xfId="1" applyNumberFormat="1" applyFont="1" applyFill="1" applyBorder="1" applyAlignment="1">
      <alignment horizontal="right" vertical="center" wrapText="1"/>
    </xf>
    <xf numFmtId="0" fontId="5" fillId="6" borderId="1" xfId="0" applyFont="1" applyFill="1" applyBorder="1" applyAlignment="1">
      <alignment horizontal="justify" vertical="center"/>
    </xf>
    <xf numFmtId="0" fontId="1" fillId="6" borderId="1" xfId="0" applyFont="1" applyFill="1" applyBorder="1" applyAlignment="1">
      <alignment horizontal="center" vertical="center"/>
    </xf>
    <xf numFmtId="0" fontId="1" fillId="4" borderId="13" xfId="0" applyFont="1" applyFill="1" applyBorder="1" applyAlignment="1">
      <alignment horizontal="justify" vertical="center"/>
    </xf>
    <xf numFmtId="165" fontId="1" fillId="4" borderId="13" xfId="1" applyNumberFormat="1" applyFont="1" applyFill="1" applyBorder="1" applyAlignment="1">
      <alignment horizontal="right" vertical="center" wrapText="1"/>
    </xf>
    <xf numFmtId="0" fontId="1" fillId="2" borderId="1" xfId="0" applyFont="1" applyFill="1" applyBorder="1" applyAlignment="1">
      <alignment horizontal="center" vertical="center"/>
    </xf>
    <xf numFmtId="0" fontId="26" fillId="4" borderId="4"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25" fillId="4" borderId="12" xfId="0" quotePrefix="1" applyFont="1" applyFill="1" applyBorder="1" applyAlignment="1">
      <alignment horizontal="center" vertical="center"/>
    </xf>
    <xf numFmtId="0" fontId="2" fillId="4" borderId="12" xfId="0" applyFont="1" applyFill="1" applyBorder="1" applyAlignment="1">
      <alignment horizontal="justify" vertical="center"/>
    </xf>
    <xf numFmtId="165" fontId="2" fillId="4" borderId="12" xfId="1" applyNumberFormat="1" applyFont="1" applyFill="1" applyBorder="1" applyAlignment="1">
      <alignment horizontal="right" vertical="center" wrapText="1"/>
    </xf>
    <xf numFmtId="0" fontId="25" fillId="4" borderId="12" xfId="0" applyFont="1" applyFill="1" applyBorder="1" applyAlignment="1">
      <alignment horizontal="center" vertical="center"/>
    </xf>
    <xf numFmtId="165" fontId="1" fillId="4" borderId="13" xfId="0" applyNumberFormat="1" applyFont="1" applyFill="1" applyBorder="1" applyAlignment="1">
      <alignment horizontal="right" vertical="center" wrapText="1"/>
    </xf>
    <xf numFmtId="0" fontId="1" fillId="4" borderId="12" xfId="0" quotePrefix="1" applyFont="1" applyFill="1" applyBorder="1" applyAlignment="1">
      <alignment horizontal="center" vertical="center"/>
    </xf>
    <xf numFmtId="3" fontId="5" fillId="4" borderId="13" xfId="0" applyNumberFormat="1" applyFont="1" applyFill="1" applyBorder="1" applyAlignment="1">
      <alignment horizontal="right" vertical="center"/>
    </xf>
    <xf numFmtId="0" fontId="5" fillId="4" borderId="5" xfId="0" quotePrefix="1" applyFont="1" applyFill="1" applyBorder="1" applyAlignment="1">
      <alignment horizontal="center" vertical="center"/>
    </xf>
    <xf numFmtId="0" fontId="5" fillId="4" borderId="5" xfId="0" applyFont="1" applyFill="1" applyBorder="1" applyAlignment="1">
      <alignment horizontal="justify" vertical="center"/>
    </xf>
    <xf numFmtId="165" fontId="5" fillId="4" borderId="5" xfId="1" applyNumberFormat="1" applyFont="1" applyFill="1" applyBorder="1" applyAlignment="1">
      <alignment horizontal="right" vertical="center" wrapText="1"/>
    </xf>
    <xf numFmtId="0" fontId="28" fillId="4" borderId="5" xfId="0" applyFont="1" applyFill="1" applyBorder="1" applyAlignment="1">
      <alignment horizontal="center" vertical="center"/>
    </xf>
    <xf numFmtId="0" fontId="28" fillId="4" borderId="7" xfId="0" quotePrefix="1" applyFont="1" applyFill="1" applyBorder="1" applyAlignment="1">
      <alignment horizontal="center" vertical="center"/>
    </xf>
    <xf numFmtId="0" fontId="5" fillId="4" borderId="7" xfId="0" applyFont="1" applyFill="1" applyBorder="1" applyAlignment="1">
      <alignment horizontal="justify" vertical="center"/>
    </xf>
    <xf numFmtId="3" fontId="5" fillId="4" borderId="7" xfId="0" applyNumberFormat="1" applyFont="1" applyFill="1" applyBorder="1" applyAlignment="1">
      <alignment horizontal="right" vertical="center"/>
    </xf>
    <xf numFmtId="0" fontId="28" fillId="4" borderId="7" xfId="0" applyFont="1" applyFill="1" applyBorder="1" applyAlignment="1">
      <alignment horizontal="center" vertical="center" wrapText="1"/>
    </xf>
    <xf numFmtId="0" fontId="5" fillId="4" borderId="7" xfId="0" applyFont="1" applyFill="1" applyBorder="1" applyAlignment="1">
      <alignment horizontal="justify" vertical="center" wrapText="1"/>
    </xf>
    <xf numFmtId="0" fontId="28" fillId="4" borderId="12" xfId="0" quotePrefix="1" applyFont="1" applyFill="1" applyBorder="1" applyAlignment="1">
      <alignment horizontal="center" vertical="center"/>
    </xf>
    <xf numFmtId="3" fontId="5" fillId="4" borderId="12" xfId="0" applyNumberFormat="1" applyFont="1" applyFill="1" applyBorder="1" applyAlignment="1">
      <alignment horizontal="right" vertical="center"/>
    </xf>
    <xf numFmtId="0" fontId="28" fillId="4" borderId="12" xfId="0" applyFont="1" applyFill="1" applyBorder="1" applyAlignment="1">
      <alignment horizontal="center" vertical="center" wrapText="1"/>
    </xf>
    <xf numFmtId="3" fontId="1" fillId="4" borderId="13" xfId="0" applyNumberFormat="1" applyFont="1" applyFill="1" applyBorder="1" applyAlignment="1">
      <alignment horizontal="right" vertical="center"/>
    </xf>
    <xf numFmtId="0" fontId="14" fillId="4" borderId="12" xfId="0" quotePrefix="1" applyFont="1" applyFill="1" applyBorder="1" applyAlignment="1">
      <alignment horizontal="center" vertical="center"/>
    </xf>
    <xf numFmtId="3" fontId="2" fillId="4" borderId="12" xfId="0" applyNumberFormat="1" applyFont="1" applyFill="1" applyBorder="1" applyAlignment="1">
      <alignment horizontal="right" vertical="center"/>
    </xf>
    <xf numFmtId="0" fontId="14" fillId="4" borderId="12" xfId="0" applyFont="1" applyFill="1" applyBorder="1" applyAlignment="1">
      <alignment horizontal="center" vertical="center" wrapText="1"/>
    </xf>
    <xf numFmtId="0" fontId="1" fillId="0" borderId="14" xfId="0" applyFont="1" applyBorder="1" applyAlignment="1">
      <alignment horizontal="justify" vertical="center"/>
    </xf>
    <xf numFmtId="0" fontId="5" fillId="0" borderId="13" xfId="0" applyFont="1" applyBorder="1" applyAlignment="1">
      <alignment horizontal="center" vertical="center" wrapText="1"/>
    </xf>
    <xf numFmtId="0" fontId="15" fillId="4" borderId="4" xfId="0" applyFont="1" applyFill="1" applyBorder="1" applyAlignment="1">
      <alignment horizontal="center" vertical="center"/>
    </xf>
    <xf numFmtId="0" fontId="1" fillId="0" borderId="4" xfId="0" applyFont="1" applyBorder="1" applyAlignment="1">
      <alignment horizontal="justify" vertical="center"/>
    </xf>
    <xf numFmtId="0" fontId="15" fillId="4" borderId="4" xfId="0" quotePrefix="1" applyFont="1" applyFill="1" applyBorder="1" applyAlignment="1">
      <alignment horizontal="center" vertical="center"/>
    </xf>
    <xf numFmtId="0" fontId="2" fillId="0" borderId="4" xfId="0" applyFont="1" applyBorder="1" applyAlignment="1">
      <alignment horizontal="justify" vertical="center"/>
    </xf>
    <xf numFmtId="0" fontId="34" fillId="4" borderId="4" xfId="0" quotePrefix="1" applyFont="1" applyFill="1" applyBorder="1" applyAlignment="1">
      <alignment horizontal="center" vertical="center"/>
    </xf>
    <xf numFmtId="0" fontId="5" fillId="0" borderId="12" xfId="0" applyFont="1" applyBorder="1" applyAlignment="1">
      <alignment horizontal="center" vertical="center"/>
    </xf>
    <xf numFmtId="0" fontId="2" fillId="0" borderId="15" xfId="0" applyFont="1" applyBorder="1" applyAlignment="1">
      <alignment horizontal="justify" vertical="center"/>
    </xf>
    <xf numFmtId="3" fontId="5" fillId="4" borderId="5" xfId="0" applyNumberFormat="1" applyFont="1" applyFill="1" applyBorder="1" applyAlignment="1">
      <alignment horizontal="right" vertical="center"/>
    </xf>
    <xf numFmtId="165" fontId="5" fillId="0" borderId="0" xfId="1" applyNumberFormat="1" applyFont="1" applyFill="1" applyAlignment="1">
      <alignment horizontal="right" vertical="center"/>
    </xf>
    <xf numFmtId="165" fontId="5" fillId="0" borderId="0" xfId="1" applyNumberFormat="1" applyFont="1" applyFill="1" applyAlignment="1">
      <alignment vertical="center"/>
    </xf>
    <xf numFmtId="0" fontId="2" fillId="0" borderId="0" xfId="0" applyFont="1" applyAlignment="1">
      <alignment horizontal="center" vertical="center"/>
    </xf>
    <xf numFmtId="165" fontId="1" fillId="0" borderId="1" xfId="1" applyNumberFormat="1" applyFont="1" applyFill="1" applyBorder="1" applyAlignment="1">
      <alignment horizontal="center" vertical="center" wrapText="1"/>
    </xf>
    <xf numFmtId="0" fontId="36" fillId="0" borderId="4" xfId="0" applyFont="1" applyBorder="1" applyAlignment="1">
      <alignment vertical="center"/>
    </xf>
    <xf numFmtId="0" fontId="36" fillId="3" borderId="4" xfId="0" applyFont="1" applyFill="1" applyBorder="1" applyAlignment="1">
      <alignment vertical="center"/>
    </xf>
    <xf numFmtId="0" fontId="36" fillId="0" borderId="5" xfId="0" applyFont="1" applyBorder="1" applyAlignment="1">
      <alignment vertical="center"/>
    </xf>
    <xf numFmtId="0" fontId="36" fillId="0" borderId="0" xfId="0" applyFont="1" applyAlignment="1">
      <alignment vertical="center"/>
    </xf>
    <xf numFmtId="0" fontId="5" fillId="0" borderId="8" xfId="0" applyFont="1" applyBorder="1" applyAlignment="1">
      <alignment horizontal="center" vertical="center" wrapText="1"/>
    </xf>
    <xf numFmtId="165" fontId="5" fillId="0" borderId="8" xfId="1" applyNumberFormat="1" applyFont="1" applyBorder="1" applyAlignment="1">
      <alignment horizontal="center" vertical="center" wrapText="1"/>
    </xf>
    <xf numFmtId="166" fontId="5" fillId="0" borderId="8" xfId="0" applyNumberFormat="1" applyFont="1" applyBorder="1" applyAlignment="1">
      <alignment horizontal="center" vertical="center" wrapText="1"/>
    </xf>
    <xf numFmtId="167" fontId="7" fillId="4" borderId="8" xfId="3" applyNumberFormat="1" applyFont="1" applyFill="1" applyBorder="1" applyAlignment="1">
      <alignment horizontal="center" vertical="center" wrapText="1"/>
    </xf>
    <xf numFmtId="165" fontId="22" fillId="5" borderId="4" xfId="1" applyNumberFormat="1" applyFont="1" applyFill="1" applyBorder="1" applyAlignment="1">
      <alignment horizontal="justify" vertical="center" wrapText="1"/>
    </xf>
    <xf numFmtId="0" fontId="5" fillId="2" borderId="4" xfId="0" applyFont="1" applyFill="1" applyBorder="1" applyAlignment="1">
      <alignment horizontal="justify" vertical="center" wrapText="1"/>
    </xf>
    <xf numFmtId="165" fontId="22" fillId="5" borderId="1" xfId="1" applyNumberFormat="1" applyFont="1" applyFill="1" applyBorder="1" applyAlignment="1">
      <alignment horizontal="justify" vertical="center" wrapText="1"/>
    </xf>
    <xf numFmtId="165" fontId="35" fillId="3" borderId="1" xfId="1" applyNumberFormat="1" applyFont="1" applyFill="1" applyBorder="1" applyAlignment="1">
      <alignment horizontal="justify" vertical="center" wrapText="1"/>
    </xf>
    <xf numFmtId="165" fontId="35" fillId="2" borderId="13" xfId="1" applyNumberFormat="1" applyFont="1" applyFill="1" applyBorder="1" applyAlignment="1">
      <alignment horizontal="justify" vertical="center" wrapText="1"/>
    </xf>
    <xf numFmtId="165" fontId="36" fillId="4" borderId="4" xfId="1" applyNumberFormat="1" applyFont="1" applyFill="1" applyBorder="1" applyAlignment="1">
      <alignment horizontal="justify" vertical="center" wrapText="1"/>
    </xf>
    <xf numFmtId="165" fontId="36" fillId="0" borderId="4" xfId="1" applyNumberFormat="1" applyFont="1" applyBorder="1" applyAlignment="1">
      <alignment horizontal="justify" vertical="center" wrapText="1"/>
    </xf>
    <xf numFmtId="0" fontId="36" fillId="0" borderId="4" xfId="1" applyNumberFormat="1" applyFont="1" applyBorder="1" applyAlignment="1">
      <alignment horizontal="justify" vertical="center" wrapText="1"/>
    </xf>
    <xf numFmtId="165" fontId="37" fillId="0" borderId="4" xfId="1" applyNumberFormat="1" applyFont="1" applyBorder="1" applyAlignment="1">
      <alignment horizontal="justify" vertical="center" wrapText="1"/>
    </xf>
    <xf numFmtId="0" fontId="37" fillId="0" borderId="4" xfId="0" applyFont="1" applyBorder="1" applyAlignment="1">
      <alignment vertical="center"/>
    </xf>
    <xf numFmtId="0" fontId="37" fillId="0" borderId="4" xfId="1" applyNumberFormat="1" applyFont="1" applyBorder="1" applyAlignment="1">
      <alignment horizontal="justify" vertical="center" wrapText="1"/>
    </xf>
    <xf numFmtId="165" fontId="35" fillId="3" borderId="4" xfId="1" applyNumberFormat="1" applyFont="1" applyFill="1" applyBorder="1" applyAlignment="1">
      <alignment horizontal="justify" vertical="center" wrapText="1"/>
    </xf>
    <xf numFmtId="165" fontId="35" fillId="2" borderId="4" xfId="1" applyNumberFormat="1" applyFont="1" applyFill="1" applyBorder="1" applyAlignment="1">
      <alignment horizontal="justify" vertical="center" wrapText="1"/>
    </xf>
    <xf numFmtId="0" fontId="36" fillId="0" borderId="4" xfId="0" applyFont="1" applyBorder="1" applyAlignment="1">
      <alignment horizontal="justify" vertical="center"/>
    </xf>
    <xf numFmtId="0" fontId="36" fillId="4" borderId="4" xfId="1" applyNumberFormat="1" applyFont="1" applyFill="1" applyBorder="1" applyAlignment="1">
      <alignment horizontal="justify" vertical="center" wrapText="1"/>
    </xf>
    <xf numFmtId="0" fontId="36" fillId="0" borderId="4" xfId="1" applyNumberFormat="1" applyFont="1" applyFill="1" applyBorder="1" applyAlignment="1">
      <alignment horizontal="justify" vertical="center" wrapText="1"/>
    </xf>
    <xf numFmtId="0" fontId="35" fillId="0" borderId="4" xfId="0" applyFont="1" applyBorder="1" applyAlignment="1">
      <alignment vertical="center"/>
    </xf>
    <xf numFmtId="0" fontId="36" fillId="4" borderId="4" xfId="0" applyFont="1" applyFill="1" applyBorder="1" applyAlignment="1">
      <alignment horizontal="justify" vertical="center"/>
    </xf>
    <xf numFmtId="0" fontId="36" fillId="4" borderId="5" xfId="0" applyFont="1" applyFill="1" applyBorder="1" applyAlignment="1">
      <alignment horizontal="justify" vertical="center"/>
    </xf>
    <xf numFmtId="165" fontId="35" fillId="2" borderId="3" xfId="1" applyNumberFormat="1" applyFont="1" applyFill="1" applyBorder="1" applyAlignment="1">
      <alignment horizontal="justify" vertical="center" wrapText="1"/>
    </xf>
    <xf numFmtId="0" fontId="36" fillId="0" borderId="5" xfId="0" applyFont="1" applyBorder="1" applyAlignment="1">
      <alignment horizontal="justify" vertical="center"/>
    </xf>
    <xf numFmtId="0" fontId="5" fillId="0" borderId="3" xfId="0" applyFont="1" applyBorder="1" applyAlignment="1">
      <alignment horizontal="justify" vertical="center" wrapText="1"/>
    </xf>
    <xf numFmtId="0" fontId="5" fillId="0" borderId="3" xfId="0" applyFont="1" applyBorder="1" applyAlignment="1">
      <alignment horizontal="justify" vertical="center"/>
    </xf>
    <xf numFmtId="0" fontId="5" fillId="0" borderId="3" xfId="0" applyFont="1" applyBorder="1" applyAlignment="1">
      <alignment vertical="center" wrapText="1"/>
    </xf>
    <xf numFmtId="0" fontId="5" fillId="4" borderId="4" xfId="1" applyNumberFormat="1" applyFont="1" applyFill="1" applyBorder="1" applyAlignment="1">
      <alignment horizontal="justify" vertical="center" wrapText="1"/>
    </xf>
    <xf numFmtId="165" fontId="5" fillId="0" borderId="4" xfId="1" applyNumberFormat="1" applyFont="1" applyBorder="1" applyAlignment="1">
      <alignment horizontal="justify" vertical="center" wrapText="1"/>
    </xf>
    <xf numFmtId="0" fontId="8" fillId="0" borderId="3" xfId="0" applyFont="1" applyBorder="1" applyAlignment="1">
      <alignment horizontal="center" vertical="center" wrapText="1"/>
    </xf>
    <xf numFmtId="165" fontId="8" fillId="0" borderId="3" xfId="1" applyNumberFormat="1" applyFont="1" applyFill="1" applyBorder="1" applyAlignment="1">
      <alignment horizontal="right" vertical="center" wrapText="1"/>
    </xf>
    <xf numFmtId="168" fontId="8" fillId="0" borderId="3" xfId="1" applyNumberFormat="1" applyFont="1" applyFill="1" applyBorder="1" applyAlignment="1">
      <alignment horizontal="right" vertical="center" wrapText="1"/>
    </xf>
    <xf numFmtId="0" fontId="8" fillId="5" borderId="4" xfId="0" applyFont="1" applyFill="1" applyBorder="1" applyAlignment="1">
      <alignment horizontal="center" vertical="center"/>
    </xf>
    <xf numFmtId="0" fontId="8" fillId="5" borderId="4" xfId="0" applyFont="1" applyFill="1" applyBorder="1" applyAlignment="1">
      <alignment horizontal="justify" vertical="center" wrapText="1"/>
    </xf>
    <xf numFmtId="165" fontId="8" fillId="5" borderId="4" xfId="1" applyNumberFormat="1" applyFont="1" applyFill="1" applyBorder="1" applyAlignment="1">
      <alignment horizontal="right" vertical="center" wrapText="1"/>
    </xf>
    <xf numFmtId="165" fontId="7" fillId="0" borderId="4" xfId="1" applyNumberFormat="1" applyFont="1" applyBorder="1" applyAlignment="1">
      <alignment horizontal="right" vertical="center" wrapText="1"/>
    </xf>
    <xf numFmtId="168" fontId="7" fillId="0" borderId="4" xfId="1" applyNumberFormat="1" applyFont="1" applyBorder="1" applyAlignment="1">
      <alignment horizontal="right" vertical="center" wrapText="1"/>
    </xf>
    <xf numFmtId="0" fontId="13" fillId="4" borderId="4" xfId="0" applyFont="1" applyFill="1" applyBorder="1" applyAlignment="1">
      <alignment horizontal="justify" vertical="center" wrapText="1"/>
    </xf>
    <xf numFmtId="165" fontId="13" fillId="0" borderId="4" xfId="1" applyNumberFormat="1" applyFont="1" applyBorder="1" applyAlignment="1">
      <alignment horizontal="right" vertical="center" wrapText="1"/>
    </xf>
    <xf numFmtId="165" fontId="8" fillId="0" borderId="4" xfId="1" applyNumberFormat="1" applyFont="1" applyBorder="1" applyAlignment="1">
      <alignment horizontal="right" vertical="center" wrapText="1"/>
    </xf>
    <xf numFmtId="168" fontId="8" fillId="0" borderId="4" xfId="1" applyNumberFormat="1" applyFont="1" applyBorder="1" applyAlignment="1">
      <alignment horizontal="right" vertical="center" wrapText="1"/>
    </xf>
    <xf numFmtId="0" fontId="8" fillId="5" borderId="4" xfId="0" applyFont="1" applyFill="1" applyBorder="1" applyAlignment="1">
      <alignment horizontal="center" vertical="center" wrapText="1"/>
    </xf>
    <xf numFmtId="168" fontId="8" fillId="5" borderId="4" xfId="1" applyNumberFormat="1" applyFont="1" applyFill="1" applyBorder="1" applyAlignment="1">
      <alignment horizontal="right" vertical="center" wrapText="1"/>
    </xf>
    <xf numFmtId="0" fontId="8" fillId="3" borderId="4" xfId="0" applyFont="1" applyFill="1" applyBorder="1" applyAlignment="1">
      <alignment horizontal="center" vertical="center" wrapText="1"/>
    </xf>
    <xf numFmtId="0" fontId="8" fillId="3" borderId="4" xfId="0" applyFont="1" applyFill="1" applyBorder="1" applyAlignment="1">
      <alignment horizontal="justify" vertical="center" wrapText="1"/>
    </xf>
    <xf numFmtId="168" fontId="8" fillId="3" borderId="4" xfId="1" applyNumberFormat="1" applyFont="1" applyFill="1" applyBorder="1" applyAlignment="1">
      <alignment horizontal="right" vertical="center" wrapText="1"/>
    </xf>
    <xf numFmtId="0" fontId="7" fillId="0" borderId="4" xfId="0" quotePrefix="1" applyFont="1" applyBorder="1" applyAlignment="1">
      <alignment horizontal="center" vertical="center" wrapText="1"/>
    </xf>
    <xf numFmtId="0" fontId="8" fillId="2" borderId="4" xfId="0" applyFont="1" applyFill="1" applyBorder="1" applyAlignment="1">
      <alignment horizontal="center" vertical="center" wrapText="1"/>
    </xf>
    <xf numFmtId="0" fontId="8" fillId="2" borderId="4" xfId="0" applyFont="1" applyFill="1" applyBorder="1" applyAlignment="1">
      <alignment horizontal="justify" vertical="center" wrapText="1"/>
    </xf>
    <xf numFmtId="168" fontId="8" fillId="2" borderId="4" xfId="1" applyNumberFormat="1" applyFont="1" applyFill="1" applyBorder="1" applyAlignment="1">
      <alignment horizontal="right" vertical="center" wrapText="1"/>
    </xf>
    <xf numFmtId="165" fontId="7" fillId="0" borderId="4" xfId="0" applyNumberFormat="1" applyFont="1" applyBorder="1" applyAlignment="1">
      <alignment vertical="center"/>
    </xf>
    <xf numFmtId="0" fontId="7" fillId="0" borderId="4" xfId="0" quotePrefix="1" applyFont="1" applyBorder="1" applyAlignment="1">
      <alignment horizontal="center" vertical="center"/>
    </xf>
    <xf numFmtId="0" fontId="13" fillId="0" borderId="4" xfId="0" quotePrefix="1" applyFont="1" applyBorder="1" applyAlignment="1">
      <alignment horizontal="center" vertical="center" wrapText="1"/>
    </xf>
    <xf numFmtId="0" fontId="13" fillId="0" borderId="4" xfId="0" applyFont="1" applyBorder="1" applyAlignment="1">
      <alignment horizontal="justify" vertical="center" wrapText="1"/>
    </xf>
    <xf numFmtId="168" fontId="13" fillId="0" borderId="4" xfId="1" applyNumberFormat="1" applyFont="1" applyBorder="1" applyAlignment="1">
      <alignment horizontal="right" vertical="center" wrapText="1"/>
    </xf>
    <xf numFmtId="0" fontId="13" fillId="0" borderId="4" xfId="0" applyFont="1" applyBorder="1" applyAlignment="1">
      <alignment horizontal="center" vertical="center" wrapText="1"/>
    </xf>
    <xf numFmtId="0" fontId="13" fillId="4" borderId="4" xfId="0" applyFont="1" applyFill="1" applyBorder="1" applyAlignment="1">
      <alignment horizontal="center" vertical="center"/>
    </xf>
    <xf numFmtId="169" fontId="7" fillId="0" borderId="4" xfId="1" applyNumberFormat="1" applyFont="1" applyBorder="1" applyAlignment="1">
      <alignment vertical="center" wrapText="1"/>
    </xf>
    <xf numFmtId="0" fontId="7" fillId="0" borderId="4" xfId="0" applyFont="1" applyBorder="1" applyAlignment="1">
      <alignment horizontal="justify" vertical="center"/>
    </xf>
    <xf numFmtId="165" fontId="7" fillId="0" borderId="4" xfId="1" applyNumberFormat="1" applyFont="1" applyBorder="1" applyAlignment="1">
      <alignment vertical="center" wrapText="1"/>
    </xf>
    <xf numFmtId="3" fontId="7" fillId="0" borderId="4" xfId="1" applyNumberFormat="1" applyFont="1" applyFill="1" applyBorder="1" applyAlignment="1">
      <alignment vertical="center"/>
    </xf>
    <xf numFmtId="165" fontId="7" fillId="0" borderId="4" xfId="1" applyNumberFormat="1" applyFont="1" applyBorder="1" applyAlignment="1">
      <alignment vertical="center"/>
    </xf>
    <xf numFmtId="164" fontId="7" fillId="0" borderId="4" xfId="1" applyFont="1" applyFill="1" applyBorder="1" applyAlignment="1">
      <alignment vertical="center" wrapText="1"/>
    </xf>
    <xf numFmtId="0" fontId="7" fillId="0" borderId="5" xfId="0" applyFont="1" applyBorder="1" applyAlignment="1">
      <alignment horizontal="justify" vertical="center" wrapText="1"/>
    </xf>
    <xf numFmtId="3" fontId="7" fillId="0" borderId="5" xfId="1" applyNumberFormat="1" applyFont="1" applyBorder="1" applyAlignment="1">
      <alignment vertical="center"/>
    </xf>
    <xf numFmtId="167" fontId="7" fillId="4" borderId="4" xfId="3" applyNumberFormat="1" applyFont="1" applyFill="1" applyBorder="1" applyAlignment="1">
      <alignment vertical="center" wrapText="1"/>
    </xf>
    <xf numFmtId="167" fontId="13" fillId="4" borderId="4" xfId="3" applyNumberFormat="1" applyFont="1" applyFill="1" applyBorder="1" applyAlignment="1">
      <alignment vertical="center" wrapText="1"/>
    </xf>
    <xf numFmtId="167" fontId="8" fillId="4" borderId="4" xfId="3" applyNumberFormat="1" applyFont="1" applyFill="1" applyBorder="1" applyAlignment="1">
      <alignment vertical="center" wrapText="1"/>
    </xf>
    <xf numFmtId="165" fontId="8" fillId="5" borderId="4" xfId="1" applyNumberFormat="1" applyFont="1" applyFill="1" applyBorder="1" applyAlignment="1">
      <alignment vertical="center" wrapText="1"/>
    </xf>
    <xf numFmtId="165" fontId="8" fillId="3" borderId="4" xfId="1" applyNumberFormat="1" applyFont="1" applyFill="1" applyBorder="1" applyAlignment="1">
      <alignment vertical="center" wrapText="1"/>
    </xf>
    <xf numFmtId="165" fontId="8" fillId="2" borderId="4" xfId="1" applyNumberFormat="1" applyFont="1" applyFill="1" applyBorder="1" applyAlignment="1">
      <alignment vertical="center" wrapText="1"/>
    </xf>
    <xf numFmtId="168" fontId="7" fillId="0" borderId="4" xfId="1" applyNumberFormat="1" applyFont="1" applyBorder="1" applyAlignment="1">
      <alignment vertical="center" wrapText="1"/>
    </xf>
    <xf numFmtId="165" fontId="13" fillId="0" borderId="4" xfId="1" applyNumberFormat="1" applyFont="1" applyBorder="1" applyAlignment="1">
      <alignment vertical="center" wrapText="1"/>
    </xf>
    <xf numFmtId="169" fontId="8" fillId="0" borderId="4" xfId="1" applyNumberFormat="1" applyFont="1" applyBorder="1" applyAlignment="1">
      <alignment vertical="center"/>
    </xf>
    <xf numFmtId="169" fontId="7" fillId="4" borderId="4" xfId="1" applyNumberFormat="1" applyFont="1" applyFill="1" applyBorder="1" applyAlignment="1">
      <alignment vertical="center" wrapText="1"/>
    </xf>
    <xf numFmtId="169" fontId="7" fillId="4" borderId="5" xfId="1" applyNumberFormat="1" applyFont="1" applyFill="1" applyBorder="1" applyAlignment="1">
      <alignment vertical="center" wrapText="1"/>
    </xf>
    <xf numFmtId="0" fontId="5" fillId="0" borderId="12" xfId="0" quotePrefix="1" applyFont="1" applyBorder="1" applyAlignment="1">
      <alignment horizontal="center" vertical="center" wrapText="1"/>
    </xf>
    <xf numFmtId="0" fontId="5" fillId="0" borderId="12" xfId="0" applyFont="1" applyBorder="1" applyAlignment="1">
      <alignment horizontal="justify" vertical="center" wrapText="1"/>
    </xf>
    <xf numFmtId="165" fontId="5" fillId="0" borderId="12" xfId="3" applyNumberFormat="1" applyFont="1" applyBorder="1" applyAlignment="1">
      <alignment horizontal="right" vertical="center" wrapText="1"/>
    </xf>
    <xf numFmtId="168" fontId="5" fillId="0" borderId="12" xfId="1" applyNumberFormat="1" applyFont="1" applyBorder="1" applyAlignment="1">
      <alignment horizontal="right" vertical="center"/>
    </xf>
    <xf numFmtId="165" fontId="5" fillId="0" borderId="12" xfId="3" applyNumberFormat="1" applyFont="1" applyBorder="1" applyAlignment="1">
      <alignment horizontal="center" vertical="center" wrapText="1"/>
    </xf>
    <xf numFmtId="0" fontId="1" fillId="2" borderId="1" xfId="0" applyFont="1" applyFill="1" applyBorder="1" applyAlignment="1">
      <alignment horizontal="justify" vertical="center" wrapText="1"/>
    </xf>
    <xf numFmtId="165" fontId="1" fillId="2" borderId="1" xfId="0" applyNumberFormat="1" applyFont="1" applyFill="1" applyBorder="1" applyAlignment="1">
      <alignment horizontal="right" vertical="center" wrapText="1"/>
    </xf>
    <xf numFmtId="168" fontId="1" fillId="2" borderId="1" xfId="1" applyNumberFormat="1" applyFont="1" applyFill="1" applyBorder="1" applyAlignment="1">
      <alignment horizontal="right" vertical="center"/>
    </xf>
    <xf numFmtId="165" fontId="1" fillId="2" borderId="1" xfId="0" applyNumberFormat="1" applyFont="1" applyFill="1" applyBorder="1" applyAlignment="1">
      <alignment horizontal="center" vertical="center" wrapText="1"/>
    </xf>
    <xf numFmtId="0" fontId="5" fillId="0" borderId="1" xfId="0" quotePrefix="1" applyFont="1" applyBorder="1" applyAlignment="1">
      <alignment horizontal="justify" vertical="center" wrapText="1"/>
    </xf>
    <xf numFmtId="0" fontId="1" fillId="0" borderId="13" xfId="0" applyFont="1" applyBorder="1" applyAlignment="1">
      <alignment horizontal="center" vertical="center" wrapText="1"/>
    </xf>
    <xf numFmtId="0" fontId="1" fillId="0" borderId="13" xfId="0" applyFont="1" applyBorder="1" applyAlignment="1">
      <alignment horizontal="justify" vertical="center" wrapText="1"/>
    </xf>
    <xf numFmtId="165" fontId="1" fillId="0" borderId="13" xfId="0" applyNumberFormat="1" applyFont="1" applyBorder="1" applyAlignment="1">
      <alignment horizontal="right" vertical="center" wrapText="1"/>
    </xf>
    <xf numFmtId="168" fontId="1" fillId="0" borderId="13" xfId="1" applyNumberFormat="1" applyFont="1" applyBorder="1" applyAlignment="1">
      <alignment horizontal="right" vertical="center"/>
    </xf>
    <xf numFmtId="165" fontId="1" fillId="0" borderId="13" xfId="0" applyNumberFormat="1" applyFont="1" applyBorder="1" applyAlignment="1">
      <alignment horizontal="center" vertical="center" wrapText="1"/>
    </xf>
    <xf numFmtId="0" fontId="5" fillId="0" borderId="13" xfId="0" quotePrefix="1" applyFont="1" applyBorder="1" applyAlignment="1">
      <alignment horizontal="justify" vertical="center" wrapText="1"/>
    </xf>
    <xf numFmtId="0" fontId="5" fillId="0" borderId="3" xfId="0" applyFont="1" applyBorder="1" applyAlignment="1">
      <alignment horizontal="center" vertical="center" wrapText="1"/>
    </xf>
    <xf numFmtId="3" fontId="5" fillId="0" borderId="3" xfId="0" applyNumberFormat="1" applyFont="1" applyBorder="1" applyAlignment="1">
      <alignment horizontal="right" vertical="center" wrapText="1"/>
    </xf>
    <xf numFmtId="165" fontId="5" fillId="0" borderId="3" xfId="0" applyNumberFormat="1" applyFont="1" applyBorder="1" applyAlignment="1">
      <alignment horizontal="center" vertical="center" wrapText="1"/>
    </xf>
    <xf numFmtId="0" fontId="5" fillId="0" borderId="3" xfId="0" quotePrefix="1" applyFont="1" applyBorder="1" applyAlignment="1">
      <alignment horizontal="justify" vertical="center" wrapText="1"/>
    </xf>
    <xf numFmtId="3" fontId="5" fillId="0" borderId="4" xfId="3" applyNumberFormat="1" applyFont="1" applyBorder="1" applyAlignment="1">
      <alignment horizontal="right" vertical="center" wrapText="1"/>
    </xf>
    <xf numFmtId="3" fontId="5" fillId="0" borderId="4" xfId="1" applyNumberFormat="1" applyFont="1" applyBorder="1" applyAlignment="1">
      <alignment horizontal="right" vertical="center"/>
    </xf>
    <xf numFmtId="0" fontId="5" fillId="0" borderId="4" xfId="0" quotePrefix="1" applyFont="1" applyBorder="1" applyAlignment="1">
      <alignment vertical="center" wrapText="1"/>
    </xf>
    <xf numFmtId="3" fontId="5" fillId="0" borderId="5" xfId="3" applyNumberFormat="1" applyFont="1" applyBorder="1" applyAlignment="1">
      <alignment horizontal="right" vertical="center" wrapText="1"/>
    </xf>
    <xf numFmtId="3" fontId="5" fillId="0" borderId="5" xfId="1" applyNumberFormat="1" applyFont="1" applyBorder="1" applyAlignment="1">
      <alignment horizontal="right" vertical="center"/>
    </xf>
    <xf numFmtId="165" fontId="12" fillId="0" borderId="3" xfId="1" applyNumberFormat="1" applyFont="1" applyBorder="1" applyAlignment="1">
      <alignment horizontal="right" vertical="center"/>
    </xf>
    <xf numFmtId="0" fontId="12" fillId="0" borderId="3" xfId="0" applyFont="1" applyBorder="1" applyAlignment="1">
      <alignment horizontal="center" vertical="center"/>
    </xf>
    <xf numFmtId="165" fontId="12" fillId="0" borderId="13" xfId="1" applyNumberFormat="1" applyFont="1" applyBorder="1" applyAlignment="1">
      <alignment horizontal="right" vertical="center"/>
    </xf>
    <xf numFmtId="165" fontId="0" fillId="0" borderId="4" xfId="1" applyNumberFormat="1" applyFont="1" applyBorder="1" applyAlignment="1">
      <alignment horizontal="right" vertical="center"/>
    </xf>
    <xf numFmtId="0" fontId="12" fillId="0" borderId="3" xfId="0" applyFont="1" applyBorder="1" applyAlignment="1">
      <alignment horizontal="justify" vertical="center" wrapText="1"/>
    </xf>
    <xf numFmtId="165" fontId="12" fillId="2" borderId="4" xfId="1" applyNumberFormat="1" applyFont="1" applyFill="1" applyBorder="1" applyAlignment="1">
      <alignment horizontal="right" vertical="center"/>
    </xf>
    <xf numFmtId="0" fontId="12" fillId="2" borderId="4" xfId="0" applyFont="1" applyFill="1" applyBorder="1" applyAlignment="1">
      <alignment horizontal="justify" vertical="center" wrapText="1"/>
    </xf>
    <xf numFmtId="0" fontId="12" fillId="0" borderId="4" xfId="0" applyFont="1" applyBorder="1" applyAlignment="1">
      <alignment horizontal="justify" vertical="center"/>
    </xf>
    <xf numFmtId="165" fontId="12" fillId="0" borderId="4" xfId="1" applyNumberFormat="1" applyFont="1" applyBorder="1" applyAlignment="1">
      <alignment horizontal="right" vertical="center"/>
    </xf>
    <xf numFmtId="0" fontId="12" fillId="2" borderId="4" xfId="0" applyFont="1" applyFill="1" applyBorder="1" applyAlignment="1">
      <alignment horizontal="justify" vertical="center"/>
    </xf>
    <xf numFmtId="0" fontId="39" fillId="0" borderId="0" xfId="0" applyFont="1" applyAlignment="1">
      <alignment vertical="center"/>
    </xf>
    <xf numFmtId="0" fontId="18" fillId="0" borderId="0" xfId="0" applyFont="1" applyAlignment="1">
      <alignment vertical="center"/>
    </xf>
    <xf numFmtId="0" fontId="18" fillId="0" borderId="0" xfId="0" applyFont="1" applyAlignment="1">
      <alignment horizontal="justify" vertical="center"/>
    </xf>
    <xf numFmtId="0" fontId="8" fillId="4" borderId="0" xfId="0" applyFont="1" applyFill="1" applyAlignment="1">
      <alignment vertical="center"/>
    </xf>
    <xf numFmtId="0" fontId="7" fillId="0" borderId="4" xfId="0" applyFont="1" applyBorder="1" applyAlignment="1">
      <alignment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5" xfId="0" applyFont="1" applyBorder="1" applyAlignment="1">
      <alignment vertical="center"/>
    </xf>
    <xf numFmtId="0" fontId="8" fillId="0" borderId="3" xfId="0" applyFont="1" applyBorder="1" applyAlignment="1">
      <alignment horizontal="center" vertical="center"/>
    </xf>
    <xf numFmtId="3" fontId="8" fillId="2" borderId="4" xfId="0" applyNumberFormat="1" applyFont="1" applyFill="1" applyBorder="1" applyAlignment="1">
      <alignment vertical="center"/>
    </xf>
    <xf numFmtId="3" fontId="8" fillId="0" borderId="3" xfId="1" applyNumberFormat="1" applyFont="1" applyBorder="1" applyAlignment="1">
      <alignment vertical="center"/>
    </xf>
    <xf numFmtId="3" fontId="8" fillId="2" borderId="4" xfId="1" applyNumberFormat="1" applyFont="1" applyFill="1" applyBorder="1" applyAlignment="1">
      <alignment vertical="center"/>
    </xf>
    <xf numFmtId="3" fontId="7" fillId="4" borderId="4" xfId="0" applyNumberFormat="1" applyFont="1" applyFill="1" applyBorder="1" applyAlignment="1">
      <alignment vertical="center"/>
    </xf>
    <xf numFmtId="3" fontId="6" fillId="2" borderId="4" xfId="0" applyNumberFormat="1" applyFont="1" applyFill="1" applyBorder="1" applyAlignment="1">
      <alignment vertical="center"/>
    </xf>
    <xf numFmtId="0" fontId="6" fillId="0" borderId="4" xfId="0" applyFont="1" applyBorder="1" applyAlignment="1">
      <alignment horizontal="center" vertical="center"/>
    </xf>
    <xf numFmtId="0" fontId="6" fillId="0" borderId="4" xfId="0" applyFont="1" applyBorder="1" applyAlignment="1">
      <alignment horizontal="left" vertical="center"/>
    </xf>
    <xf numFmtId="3" fontId="6" fillId="0" borderId="4" xfId="0" applyNumberFormat="1" applyFont="1" applyBorder="1" applyAlignment="1">
      <alignment vertical="center"/>
    </xf>
    <xf numFmtId="0" fontId="9" fillId="0" borderId="4" xfId="0" applyFont="1" applyBorder="1" applyAlignment="1">
      <alignment horizontal="center" vertical="center"/>
    </xf>
    <xf numFmtId="0" fontId="9" fillId="0" borderId="4" xfId="0" applyFont="1" applyBorder="1" applyAlignment="1">
      <alignment horizontal="justify" vertical="center"/>
    </xf>
    <xf numFmtId="3" fontId="9" fillId="0" borderId="4" xfId="0" applyNumberFormat="1" applyFont="1" applyBorder="1" applyAlignment="1">
      <alignment vertical="center"/>
    </xf>
    <xf numFmtId="0" fontId="6" fillId="0" borderId="4" xfId="0" applyFont="1" applyBorder="1" applyAlignment="1">
      <alignment vertical="center"/>
    </xf>
    <xf numFmtId="3" fontId="9" fillId="0" borderId="4" xfId="1" applyNumberFormat="1" applyFont="1" applyFill="1" applyBorder="1" applyAlignment="1">
      <alignment vertical="center"/>
    </xf>
    <xf numFmtId="0" fontId="9" fillId="0" borderId="4" xfId="0" applyFont="1" applyBorder="1" applyAlignment="1">
      <alignment horizontal="center" vertical="center" wrapText="1"/>
    </xf>
    <xf numFmtId="0" fontId="40" fillId="0" borderId="0" xfId="0" applyFont="1" applyAlignment="1">
      <alignment vertical="center"/>
    </xf>
    <xf numFmtId="0" fontId="40" fillId="4" borderId="0" xfId="0" applyFont="1" applyFill="1" applyAlignment="1">
      <alignment vertical="center"/>
    </xf>
    <xf numFmtId="0" fontId="40" fillId="4" borderId="1" xfId="0" applyFont="1" applyFill="1" applyBorder="1" applyAlignment="1">
      <alignment horizontal="center" vertical="center"/>
    </xf>
    <xf numFmtId="0" fontId="40" fillId="4" borderId="1" xfId="0" applyFont="1" applyFill="1" applyBorder="1" applyAlignment="1">
      <alignment horizontal="center" vertical="center" wrapText="1"/>
    </xf>
    <xf numFmtId="0" fontId="38" fillId="0" borderId="0" xfId="0" applyFont="1" applyAlignment="1">
      <alignment vertical="center"/>
    </xf>
    <xf numFmtId="0" fontId="40" fillId="0" borderId="0" xfId="0" applyFont="1" applyAlignment="1">
      <alignment horizontal="center" vertical="center"/>
    </xf>
    <xf numFmtId="0" fontId="45" fillId="0" borderId="0" xfId="0" applyFont="1" applyAlignment="1">
      <alignment vertical="center"/>
    </xf>
    <xf numFmtId="0" fontId="42" fillId="4" borderId="16" xfId="0" applyFont="1" applyFill="1" applyBorder="1" applyAlignment="1">
      <alignment horizontal="center" vertical="center" wrapText="1"/>
    </xf>
    <xf numFmtId="0" fontId="43" fillId="4" borderId="16" xfId="0" applyFont="1" applyFill="1" applyBorder="1" applyAlignment="1">
      <alignment horizontal="center" vertical="center" wrapText="1"/>
    </xf>
    <xf numFmtId="0" fontId="41" fillId="4" borderId="16" xfId="0" applyFont="1" applyFill="1" applyBorder="1" applyAlignment="1">
      <alignment vertical="center" wrapText="1"/>
    </xf>
    <xf numFmtId="3" fontId="41" fillId="4" borderId="16" xfId="0" applyNumberFormat="1" applyFont="1" applyFill="1" applyBorder="1" applyAlignment="1">
      <alignment vertical="center" wrapText="1"/>
    </xf>
    <xf numFmtId="0" fontId="24" fillId="4" borderId="2" xfId="0" applyFont="1" applyFill="1" applyBorder="1" applyAlignment="1">
      <alignment horizontal="right" vertical="center"/>
    </xf>
    <xf numFmtId="0" fontId="49" fillId="4" borderId="16" xfId="0" applyFont="1" applyFill="1" applyBorder="1" applyAlignment="1">
      <alignment horizontal="center" vertical="center" wrapText="1"/>
    </xf>
    <xf numFmtId="3" fontId="49" fillId="4" borderId="16" xfId="0" applyNumberFormat="1" applyFont="1" applyFill="1" applyBorder="1" applyAlignment="1">
      <alignment vertical="center" wrapText="1"/>
    </xf>
    <xf numFmtId="0" fontId="24" fillId="4" borderId="16" xfId="0" applyFont="1" applyFill="1" applyBorder="1" applyAlignment="1">
      <alignment horizontal="center" vertical="center" wrapText="1"/>
    </xf>
    <xf numFmtId="0" fontId="50" fillId="0" borderId="0" xfId="0" applyFont="1" applyAlignment="1">
      <alignment vertical="center"/>
    </xf>
    <xf numFmtId="0" fontId="43" fillId="4" borderId="19" xfId="0" applyFont="1" applyFill="1" applyBorder="1" applyAlignment="1">
      <alignment horizontal="center" vertical="center" wrapText="1"/>
    </xf>
    <xf numFmtId="0" fontId="41" fillId="4" borderId="19" xfId="0" applyFont="1" applyFill="1" applyBorder="1" applyAlignment="1">
      <alignment vertical="center" wrapText="1"/>
    </xf>
    <xf numFmtId="3" fontId="41" fillId="4" borderId="19" xfId="0" applyNumberFormat="1" applyFont="1" applyFill="1" applyBorder="1" applyAlignment="1">
      <alignment vertical="center" wrapText="1"/>
    </xf>
    <xf numFmtId="0" fontId="42" fillId="4" borderId="17" xfId="0" applyFont="1" applyFill="1" applyBorder="1" applyAlignment="1">
      <alignment horizontal="center" vertical="center" wrapText="1"/>
    </xf>
    <xf numFmtId="0" fontId="51" fillId="0" borderId="16" xfId="13" applyFont="1" applyBorder="1" applyAlignment="1">
      <alignment horizontal="left" vertical="center" wrapText="1"/>
    </xf>
    <xf numFmtId="0" fontId="52" fillId="0" borderId="16" xfId="13" applyFont="1" applyBorder="1" applyAlignment="1">
      <alignment horizontal="left" vertical="center" wrapText="1"/>
    </xf>
    <xf numFmtId="3" fontId="7" fillId="4" borderId="16" xfId="0" applyNumberFormat="1" applyFont="1" applyFill="1" applyBorder="1" applyAlignment="1">
      <alignment horizontal="center" vertical="center" wrapText="1"/>
    </xf>
    <xf numFmtId="3" fontId="7" fillId="4" borderId="16" xfId="0" applyNumberFormat="1" applyFont="1" applyFill="1" applyBorder="1" applyAlignment="1">
      <alignment vertical="center" wrapText="1"/>
    </xf>
    <xf numFmtId="0" fontId="2" fillId="4" borderId="16" xfId="0" applyFont="1" applyFill="1" applyBorder="1" applyAlignment="1">
      <alignment horizontal="center" vertical="center" wrapText="1"/>
    </xf>
    <xf numFmtId="0" fontId="52" fillId="0" borderId="17" xfId="13" applyFont="1" applyBorder="1" applyAlignment="1">
      <alignment horizontal="left" vertical="center" wrapText="1"/>
    </xf>
    <xf numFmtId="3" fontId="7" fillId="4" borderId="17" xfId="0" applyNumberFormat="1" applyFont="1" applyFill="1" applyBorder="1" applyAlignment="1">
      <alignment horizontal="center" vertical="center" wrapText="1"/>
    </xf>
    <xf numFmtId="3" fontId="7" fillId="4" borderId="17" xfId="0" applyNumberFormat="1" applyFont="1" applyFill="1" applyBorder="1" applyAlignment="1">
      <alignment vertical="center" wrapText="1"/>
    </xf>
    <xf numFmtId="0" fontId="2" fillId="4" borderId="17" xfId="0" applyFont="1" applyFill="1" applyBorder="1" applyAlignment="1">
      <alignment horizontal="center" vertical="center" wrapText="1"/>
    </xf>
    <xf numFmtId="0" fontId="5" fillId="0" borderId="4" xfId="0" applyFont="1" applyBorder="1" applyAlignment="1">
      <alignment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1" fillId="0" borderId="3" xfId="0" applyFont="1" applyBorder="1" applyAlignment="1">
      <alignment horizontal="center" vertical="center"/>
    </xf>
    <xf numFmtId="0" fontId="2" fillId="0" borderId="0" xfId="0" applyFont="1" applyAlignment="1">
      <alignment horizontal="center"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5" fillId="4" borderId="13" xfId="0" applyFont="1" applyFill="1" applyBorder="1" applyAlignment="1">
      <alignment horizontal="justify" vertical="center" wrapText="1"/>
    </xf>
    <xf numFmtId="0" fontId="5" fillId="4" borderId="4" xfId="0" applyFont="1" applyFill="1" applyBorder="1" applyAlignment="1">
      <alignment horizontal="justify" vertical="center" wrapText="1"/>
    </xf>
    <xf numFmtId="0" fontId="5" fillId="4" borderId="12" xfId="0" applyFont="1" applyFill="1" applyBorder="1" applyAlignment="1">
      <alignment horizontal="justify" vertical="center" wrapText="1"/>
    </xf>
    <xf numFmtId="0" fontId="1" fillId="4" borderId="1" xfId="0" applyFont="1" applyFill="1" applyBorder="1" applyAlignment="1">
      <alignment horizontal="center" vertical="center"/>
    </xf>
    <xf numFmtId="0" fontId="1" fillId="0" borderId="6" xfId="0" applyFont="1" applyBorder="1" applyAlignment="1">
      <alignment horizontal="justify" vertical="center"/>
    </xf>
    <xf numFmtId="0" fontId="1" fillId="0" borderId="7" xfId="0" applyFont="1" applyBorder="1" applyAlignment="1">
      <alignment horizontal="justify" vertical="center"/>
    </xf>
    <xf numFmtId="0" fontId="1" fillId="0" borderId="8" xfId="0" applyFont="1" applyBorder="1" applyAlignment="1">
      <alignment horizontal="justify" vertical="center"/>
    </xf>
    <xf numFmtId="165" fontId="1" fillId="0" borderId="9" xfId="1" applyNumberFormat="1" applyFont="1" applyFill="1" applyBorder="1" applyAlignment="1">
      <alignment horizontal="center" vertical="center" wrapText="1"/>
    </xf>
    <xf numFmtId="165" fontId="1" fillId="0" borderId="10" xfId="1" applyNumberFormat="1" applyFont="1" applyFill="1" applyBorder="1" applyAlignment="1">
      <alignment horizontal="center" vertical="center" wrapText="1"/>
    </xf>
    <xf numFmtId="165" fontId="1" fillId="0" borderId="11" xfId="1" applyNumberFormat="1" applyFont="1" applyFill="1" applyBorder="1" applyAlignment="1">
      <alignment horizontal="center" vertical="center" wrapText="1"/>
    </xf>
    <xf numFmtId="165" fontId="1" fillId="0" borderId="6" xfId="1" applyNumberFormat="1" applyFont="1" applyFill="1" applyBorder="1" applyAlignment="1">
      <alignment horizontal="center" vertical="center" wrapText="1"/>
    </xf>
    <xf numFmtId="165" fontId="1" fillId="0" borderId="8" xfId="1"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 fillId="0" borderId="2" xfId="0" applyFont="1" applyBorder="1" applyAlignment="1">
      <alignment horizontal="center" vertical="center"/>
    </xf>
    <xf numFmtId="165" fontId="7" fillId="0" borderId="4" xfId="1" applyNumberFormat="1" applyFont="1" applyBorder="1" applyAlignment="1">
      <alignment vertical="center" wrapText="1"/>
    </xf>
    <xf numFmtId="0" fontId="5" fillId="0" borderId="4" xfId="0" applyFont="1" applyBorder="1" applyAlignment="1">
      <alignment horizontal="justify" vertical="center" wrapText="1"/>
    </xf>
    <xf numFmtId="0" fontId="20" fillId="4" borderId="4" xfId="1" applyNumberFormat="1" applyFont="1" applyFill="1" applyBorder="1" applyAlignment="1">
      <alignment horizontal="justify" vertical="center" wrapText="1"/>
    </xf>
    <xf numFmtId="0" fontId="5" fillId="0" borderId="12" xfId="0" applyFont="1" applyBorder="1" applyAlignment="1">
      <alignment horizontal="justify" vertical="center" wrapText="1"/>
    </xf>
    <xf numFmtId="0" fontId="36" fillId="0" borderId="4" xfId="1" applyNumberFormat="1" applyFont="1" applyBorder="1" applyAlignment="1">
      <alignment horizontal="justify" vertical="center" wrapText="1"/>
    </xf>
    <xf numFmtId="0" fontId="36" fillId="0" borderId="4" xfId="0" applyFont="1" applyBorder="1" applyAlignment="1">
      <alignment horizontal="justify" vertical="center"/>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167" fontId="8" fillId="4" borderId="9" xfId="3" applyNumberFormat="1" applyFont="1" applyFill="1" applyBorder="1" applyAlignment="1">
      <alignment horizontal="center" vertical="center" wrapText="1"/>
    </xf>
    <xf numFmtId="167" fontId="8" fillId="4" borderId="10" xfId="3" applyNumberFormat="1" applyFont="1" applyFill="1" applyBorder="1" applyAlignment="1">
      <alignment horizontal="center" vertical="center" wrapText="1"/>
    </xf>
    <xf numFmtId="167" fontId="8" fillId="4" borderId="11" xfId="3" applyNumberFormat="1" applyFont="1" applyFill="1" applyBorder="1" applyAlignment="1">
      <alignment horizontal="center" vertical="center" wrapText="1"/>
    </xf>
    <xf numFmtId="166" fontId="8" fillId="4" borderId="9" xfId="3" applyNumberFormat="1" applyFont="1" applyFill="1" applyBorder="1" applyAlignment="1">
      <alignment horizontal="center" vertical="center" wrapText="1"/>
    </xf>
    <xf numFmtId="166" fontId="8" fillId="4" borderId="10" xfId="3" applyNumberFormat="1" applyFont="1" applyFill="1" applyBorder="1" applyAlignment="1">
      <alignment horizontal="center" vertical="center" wrapText="1"/>
    </xf>
    <xf numFmtId="166" fontId="8" fillId="4" borderId="11" xfId="3" applyNumberFormat="1" applyFont="1" applyFill="1" applyBorder="1" applyAlignment="1">
      <alignment horizontal="center" vertical="center" wrapText="1"/>
    </xf>
    <xf numFmtId="0" fontId="36" fillId="0" borderId="12" xfId="1" applyNumberFormat="1" applyFont="1" applyBorder="1" applyAlignment="1">
      <alignment horizontal="justify" vertical="center" wrapText="1"/>
    </xf>
    <xf numFmtId="0" fontId="19" fillId="0" borderId="4" xfId="0" quotePrefix="1" applyFont="1" applyBorder="1" applyAlignment="1">
      <alignment horizontal="justify" vertical="center" wrapText="1"/>
    </xf>
    <xf numFmtId="0" fontId="19" fillId="0" borderId="4" xfId="0" applyFont="1" applyBorder="1" applyAlignment="1">
      <alignment horizontal="justify" vertical="center" wrapText="1"/>
    </xf>
    <xf numFmtId="0" fontId="5" fillId="0" borderId="4" xfId="0" quotePrefix="1" applyFont="1" applyBorder="1" applyAlignment="1">
      <alignment horizontal="justify" vertical="center" wrapText="1"/>
    </xf>
    <xf numFmtId="0" fontId="5" fillId="0" borderId="12" xfId="0" quotePrefix="1" applyFont="1" applyBorder="1" applyAlignment="1">
      <alignment horizontal="justify" vertical="center" wrapText="1"/>
    </xf>
    <xf numFmtId="0" fontId="5" fillId="0" borderId="4" xfId="0" quotePrefix="1" applyFont="1" applyBorder="1" applyAlignment="1">
      <alignment horizontal="center" vertical="center" wrapText="1"/>
    </xf>
    <xf numFmtId="0" fontId="5" fillId="0" borderId="5" xfId="0" quotePrefix="1" applyFont="1" applyBorder="1" applyAlignment="1">
      <alignment horizontal="justify" vertical="center" wrapText="1"/>
    </xf>
    <xf numFmtId="0" fontId="38" fillId="0" borderId="0" xfId="0" applyFont="1" applyAlignment="1">
      <alignment horizontal="center" vertical="center" wrapText="1"/>
    </xf>
    <xf numFmtId="0" fontId="12" fillId="0" borderId="3" xfId="0" applyFont="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27" fillId="0" borderId="0" xfId="0" applyFont="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 fillId="0" borderId="1" xfId="0" applyFont="1" applyBorder="1" applyAlignment="1">
      <alignment horizontal="center" vertical="center"/>
    </xf>
    <xf numFmtId="0" fontId="30" fillId="0" borderId="0" xfId="0" applyFont="1" applyAlignment="1">
      <alignment horizontal="center" vertical="center" wrapText="1"/>
    </xf>
    <xf numFmtId="0" fontId="30" fillId="0" borderId="0" xfId="0" applyFont="1" applyAlignment="1">
      <alignment horizontal="center" vertical="center"/>
    </xf>
    <xf numFmtId="0" fontId="0" fillId="4" borderId="4" xfId="0" quotePrefix="1" applyFill="1" applyBorder="1" applyAlignment="1">
      <alignment horizontal="center" vertical="center"/>
    </xf>
    <xf numFmtId="3" fontId="9" fillId="4" borderId="4" xfId="0" applyNumberFormat="1" applyFont="1" applyFill="1" applyBorder="1" applyAlignment="1">
      <alignment vertical="center" wrapText="1"/>
    </xf>
    <xf numFmtId="0" fontId="0" fillId="0" borderId="4" xfId="0" applyBorder="1" applyAlignment="1">
      <alignment horizontal="justify" vertical="center" wrapText="1"/>
    </xf>
    <xf numFmtId="0" fontId="0" fillId="0" borderId="5" xfId="0" applyBorder="1" applyAlignment="1">
      <alignment horizontal="justify" vertical="center" wrapText="1"/>
    </xf>
    <xf numFmtId="0" fontId="7" fillId="0" borderId="4" xfId="0" applyFont="1" applyBorder="1" applyAlignment="1">
      <alignment vertical="center" wrapText="1"/>
    </xf>
    <xf numFmtId="0" fontId="44" fillId="0" borderId="0" xfId="0" applyFont="1" applyAlignment="1">
      <alignment horizontal="left" vertical="center"/>
    </xf>
    <xf numFmtId="0" fontId="44" fillId="0" borderId="0" xfId="0" applyFont="1" applyAlignment="1">
      <alignment horizontal="center" vertical="center" wrapText="1"/>
    </xf>
    <xf numFmtId="0" fontId="46" fillId="0" borderId="0" xfId="0" applyFont="1" applyAlignment="1">
      <alignment horizontal="center" vertical="center"/>
    </xf>
    <xf numFmtId="0" fontId="47" fillId="4" borderId="1" xfId="0" applyFont="1" applyFill="1" applyBorder="1" applyAlignment="1">
      <alignment horizontal="center" vertical="center" wrapText="1"/>
    </xf>
    <xf numFmtId="0" fontId="47" fillId="4" borderId="6" xfId="0" applyFont="1" applyFill="1" applyBorder="1" applyAlignment="1">
      <alignment horizontal="center" vertical="center" wrapText="1"/>
    </xf>
    <xf numFmtId="0" fontId="47" fillId="4" borderId="7" xfId="0" applyFont="1" applyFill="1" applyBorder="1" applyAlignment="1">
      <alignment horizontal="center" vertical="center" wrapText="1"/>
    </xf>
    <xf numFmtId="0" fontId="47" fillId="4" borderId="8" xfId="0" applyFont="1" applyFill="1" applyBorder="1" applyAlignment="1">
      <alignment horizontal="center" vertical="center" wrapText="1"/>
    </xf>
    <xf numFmtId="0" fontId="48" fillId="4" borderId="6" xfId="0" applyFont="1" applyFill="1" applyBorder="1" applyAlignment="1">
      <alignment horizontal="center" vertical="center" wrapText="1"/>
    </xf>
    <xf numFmtId="0" fontId="48" fillId="4" borderId="7" xfId="0" applyFont="1" applyFill="1" applyBorder="1" applyAlignment="1">
      <alignment horizontal="center" vertical="center" wrapText="1"/>
    </xf>
    <xf numFmtId="0" fontId="48" fillId="4" borderId="8" xfId="0" applyFont="1" applyFill="1" applyBorder="1" applyAlignment="1">
      <alignment horizontal="center" vertical="center" wrapText="1"/>
    </xf>
    <xf numFmtId="3" fontId="47" fillId="0" borderId="18" xfId="16" applyNumberFormat="1" applyFont="1" applyBorder="1" applyAlignment="1">
      <alignment horizontal="center" vertical="center" wrapText="1"/>
    </xf>
    <xf numFmtId="3" fontId="47" fillId="0" borderId="14" xfId="16" applyNumberFormat="1" applyFont="1" applyBorder="1" applyAlignment="1">
      <alignment horizontal="center" vertical="center" wrapText="1"/>
    </xf>
    <xf numFmtId="3" fontId="47" fillId="0" borderId="15" xfId="16" applyNumberFormat="1" applyFont="1" applyBorder="1" applyAlignment="1">
      <alignment horizontal="center" vertical="center" wrapText="1"/>
    </xf>
    <xf numFmtId="3" fontId="47" fillId="0" borderId="1" xfId="16" applyNumberFormat="1" applyFont="1" applyBorder="1" applyAlignment="1">
      <alignment horizontal="center" vertical="center" wrapText="1"/>
    </xf>
  </cellXfs>
  <cellStyles count="17">
    <cellStyle name="Bình thường 2" xfId="4" xr:uid="{00000000-0005-0000-0000-000000000000}"/>
    <cellStyle name="Comma" xfId="1" builtinId="3"/>
    <cellStyle name="Comma 3" xfId="3" xr:uid="{00000000-0005-0000-0000-000002000000}"/>
    <cellStyle name="Chuẩn 2 7" xfId="14" xr:uid="{00000000-0005-0000-0000-000003000000}"/>
    <cellStyle name="Normal" xfId="0" builtinId="0"/>
    <cellStyle name="Normal 10" xfId="12" xr:uid="{00000000-0005-0000-0000-000005000000}"/>
    <cellStyle name="Normal 2" xfId="2" xr:uid="{00000000-0005-0000-0000-000006000000}"/>
    <cellStyle name="Normal 2 2" xfId="9" xr:uid="{00000000-0005-0000-0000-000007000000}"/>
    <cellStyle name="Normal 2 3" xfId="8" xr:uid="{00000000-0005-0000-0000-000008000000}"/>
    <cellStyle name="Normal 2 4 2" xfId="15" xr:uid="{00000000-0005-0000-0000-000009000000}"/>
    <cellStyle name="Normal 3" xfId="13" xr:uid="{00000000-0005-0000-0000-00000A000000}"/>
    <cellStyle name="Normal 4" xfId="6" xr:uid="{00000000-0005-0000-0000-00000B000000}"/>
    <cellStyle name="Normal 5" xfId="5" xr:uid="{00000000-0005-0000-0000-00000C000000}"/>
    <cellStyle name="Normal 6" xfId="7" xr:uid="{00000000-0005-0000-0000-00000D000000}"/>
    <cellStyle name="Normal 8" xfId="10" xr:uid="{00000000-0005-0000-0000-00000E000000}"/>
    <cellStyle name="Normal 9" xfId="11" xr:uid="{00000000-0005-0000-0000-00000F000000}"/>
    <cellStyle name="Normal_Bieu mau (CV ) 2"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B&#193;O%20C&#193;O\BC%20N&#258;M%202024\BC%20&#272;&#7882;NH%20K&#7922;%20CT%20MTQG\31.03.2024.%20BI&#7874;U%20BC%20&#272;&#7882;NH%20K&#7922;%202%20L&#7846;N-TH&#193;NG%20C&#193;C%20CT%20MTQG%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stcbk\Documents\Zalo%20Received%20Files\1.%20Bieu%20dieu%20chinh%20kem%20To%20trinh%2025%2004%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TAI%20LIEU\Documents\Zalo%20Received%20Files\1.%20Bi&#7875;u%20k&#232;m%20CV%20g&#7917;i%20STC%20-%20L2%20-%20B&#7887;%20ph&#7847;n%20ko%20&#273;i&#7873;u%20ch&#7881;n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1.ĐTNTM"/>
      <sheetName val="B2.ĐTDTTS "/>
      <sheetName val="B3.SNNTM "/>
      <sheetName val="B4.SNGNBV"/>
      <sheetName val="B5.SNDTTS"/>
      <sheetName val="B6. TIẾN ĐỘ TH DAPTSX"/>
      <sheetName val="B7. TIẾN ĐỘ TH VĐT"/>
    </sheetNames>
    <sheetDataSet>
      <sheetData sheetId="0" refreshError="1"/>
      <sheetData sheetId="1" refreshError="1"/>
      <sheetData sheetId="2" refreshError="1"/>
      <sheetData sheetId="3" refreshError="1"/>
      <sheetData sheetId="4" refreshError="1">
        <row r="70">
          <cell r="B70" t="str">
            <v>Tiểu dự án 1: Phát triển kinh tế nông, lâm nghiệp bền vững gắn với bảo vệ rừng và nâng cao thu nhập cho người dân</v>
          </cell>
        </row>
        <row r="107">
          <cell r="B107" t="str">
            <v>Tiểu dự án 1: Đổi mới hoạt động, củng cố phát triển các trường phổ thông dân tộc nội trú, trường phổ thông dân tộc bán trú, trường phổ thông có học sinh ở bán trú và xóa mù chữ cho người dân vùng đồng bào dân tộc thiểu số</v>
          </cell>
        </row>
        <row r="110">
          <cell r="B110" t="str">
            <v>Tiểu dự án 2: Bồi dưỡng kiến thức dân tộc; đào tạo dự bị đại học, đại học và sau đại học đáp ứng nhu cầu nhân lực cho vùng đồng bào dân tộc thiểu số và miền núi</v>
          </cell>
        </row>
        <row r="113">
          <cell r="B113" t="str">
            <v>Tiểu dự án 3: Dự án phát triển giáo dục nghề nghiệp và giải quyết việc làm cho người lao động vùng dân tộc thiểu số và miền núi</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1-TH dư nguồn DTTS"/>
      <sheetName val="PL2-TH dư nguồn GNBV"/>
      <sheetName val="B1 DTTS"/>
      <sheetName val="B2 GNBV"/>
      <sheetName val="B3 NTM"/>
      <sheetName val="B1 DTTS kèm NQ"/>
      <sheetName val="B2 GNBV kèm NQ"/>
      <sheetName val="B3 NTM kèm NQ"/>
    </sheetNames>
    <sheetDataSet>
      <sheetData sheetId="0" refreshError="1"/>
      <sheetData sheetId="1" refreshError="1"/>
      <sheetData sheetId="2" refreshError="1"/>
      <sheetData sheetId="3">
        <row r="32">
          <cell r="F32">
            <v>3285170210</v>
          </cell>
        </row>
        <row r="46">
          <cell r="F46">
            <v>24260000</v>
          </cell>
        </row>
        <row r="47">
          <cell r="F47">
            <v>51266000</v>
          </cell>
        </row>
        <row r="52">
          <cell r="F52">
            <v>300127624</v>
          </cell>
        </row>
        <row r="57">
          <cell r="F57">
            <v>990288200</v>
          </cell>
        </row>
        <row r="58">
          <cell r="F58">
            <v>1173000000</v>
          </cell>
        </row>
        <row r="59">
          <cell r="F59">
            <v>82000000</v>
          </cell>
        </row>
        <row r="66">
          <cell r="F66">
            <v>2194000000</v>
          </cell>
        </row>
        <row r="67">
          <cell r="F67">
            <v>1374000000</v>
          </cell>
        </row>
        <row r="81">
          <cell r="F81">
            <v>39330484</v>
          </cell>
        </row>
        <row r="86">
          <cell r="F86">
            <v>248834000</v>
          </cell>
        </row>
        <row r="91">
          <cell r="F91">
            <v>770000</v>
          </cell>
        </row>
        <row r="100">
          <cell r="F100">
            <v>57715600</v>
          </cell>
        </row>
        <row r="101">
          <cell r="F101">
            <v>335062850</v>
          </cell>
        </row>
        <row r="102">
          <cell r="F102">
            <v>83104600</v>
          </cell>
        </row>
        <row r="109">
          <cell r="F109">
            <v>45559374</v>
          </cell>
        </row>
        <row r="111">
          <cell r="F111">
            <v>45559374</v>
          </cell>
        </row>
        <row r="117">
          <cell r="F117">
            <v>19913503</v>
          </cell>
        </row>
        <row r="120">
          <cell r="F120">
            <v>1127200000</v>
          </cell>
        </row>
        <row r="121">
          <cell r="F121">
            <v>2255360000</v>
          </cell>
        </row>
        <row r="122">
          <cell r="F122">
            <v>206200000</v>
          </cell>
        </row>
        <row r="123">
          <cell r="F123">
            <v>662000</v>
          </cell>
        </row>
      </sheetData>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ểu 1"/>
      <sheetName val="Biểu 2"/>
      <sheetName val="B1 DTTS"/>
      <sheetName val="B2 GNBV"/>
      <sheetName val="B3 NTM"/>
      <sheetName val="CT VĐB DTTS"/>
      <sheetName val="CT Giảm nghèo"/>
    </sheetNames>
    <sheetDataSet>
      <sheetData sheetId="0" refreshError="1"/>
      <sheetData sheetId="1" refreshError="1">
        <row r="9">
          <cell r="C9">
            <v>27158278419</v>
          </cell>
        </row>
        <row r="219">
          <cell r="M219">
            <v>690246000</v>
          </cell>
        </row>
        <row r="221">
          <cell r="M221">
            <v>295237500</v>
          </cell>
        </row>
        <row r="227">
          <cell r="M227">
            <v>41235</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L179"/>
  <sheetViews>
    <sheetView topLeftCell="A6" zoomScaleNormal="100" workbookViewId="0">
      <pane xSplit="2" ySplit="3" topLeftCell="C9" activePane="bottomRight" state="frozen"/>
      <selection activeCell="A6" sqref="A6"/>
      <selection pane="topRight" activeCell="C6" sqref="C6"/>
      <selection pane="bottomLeft" activeCell="A9" sqref="A9"/>
      <selection pane="bottomRight" activeCell="F11" sqref="F11"/>
    </sheetView>
  </sheetViews>
  <sheetFormatPr defaultColWidth="9" defaultRowHeight="15.75"/>
  <cols>
    <col min="1" max="1" width="6.375" style="1" customWidth="1"/>
    <col min="2" max="2" width="37.375" style="1" customWidth="1"/>
    <col min="3" max="7" width="17.875" style="1" customWidth="1"/>
    <col min="8" max="8" width="24.5" style="1" customWidth="1"/>
    <col min="9" max="9" width="71.125" style="1" customWidth="1"/>
    <col min="10" max="10" width="20.5" style="1" customWidth="1"/>
    <col min="11" max="11" width="16.875" style="1" customWidth="1"/>
    <col min="12" max="12" width="17.875" style="1" customWidth="1"/>
    <col min="13" max="16384" width="9" style="1"/>
  </cols>
  <sheetData>
    <row r="1" spans="1:9">
      <c r="I1" s="55" t="s">
        <v>82</v>
      </c>
    </row>
    <row r="2" spans="1:9" ht="37.5" customHeight="1">
      <c r="A2" s="676" t="s">
        <v>80</v>
      </c>
      <c r="B2" s="676"/>
      <c r="C2" s="676"/>
      <c r="D2" s="676"/>
      <c r="E2" s="676"/>
      <c r="F2" s="676"/>
      <c r="G2" s="676"/>
      <c r="H2" s="676"/>
      <c r="I2" s="676"/>
    </row>
    <row r="3" spans="1:9" ht="21.75" customHeight="1">
      <c r="A3" s="678" t="str">
        <f>'B1 PAĐC DTTS'!A3:O3</f>
        <v>(Kèm theo Tờ trình số:                  /TTr-UBND ngày               /5/2024 của UBND tỉnh Bắc Kạn)</v>
      </c>
      <c r="B3" s="678"/>
      <c r="C3" s="678"/>
      <c r="D3" s="678"/>
      <c r="E3" s="678"/>
      <c r="F3" s="678"/>
      <c r="G3" s="678"/>
      <c r="H3" s="678"/>
      <c r="I3" s="678"/>
    </row>
    <row r="5" spans="1:9">
      <c r="I5" s="56" t="s">
        <v>23</v>
      </c>
    </row>
    <row r="6" spans="1:9" ht="30.75" customHeight="1">
      <c r="A6" s="673" t="s">
        <v>1</v>
      </c>
      <c r="B6" s="673" t="s">
        <v>77</v>
      </c>
      <c r="C6" s="679" t="s">
        <v>78</v>
      </c>
      <c r="D6" s="680"/>
      <c r="E6" s="681"/>
      <c r="F6" s="673" t="s">
        <v>925</v>
      </c>
      <c r="G6" s="673" t="s">
        <v>926</v>
      </c>
      <c r="H6" s="673" t="s">
        <v>88</v>
      </c>
      <c r="I6" s="673" t="s">
        <v>79</v>
      </c>
    </row>
    <row r="7" spans="1:9" ht="20.25" customHeight="1">
      <c r="A7" s="674"/>
      <c r="B7" s="674"/>
      <c r="C7" s="673" t="s">
        <v>10</v>
      </c>
      <c r="D7" s="679" t="s">
        <v>11</v>
      </c>
      <c r="E7" s="681"/>
      <c r="F7" s="674"/>
      <c r="G7" s="674"/>
      <c r="H7" s="674"/>
      <c r="I7" s="674"/>
    </row>
    <row r="8" spans="1:9" ht="30.4" customHeight="1">
      <c r="A8" s="675"/>
      <c r="B8" s="675"/>
      <c r="C8" s="675"/>
      <c r="D8" s="3" t="str">
        <f>'B2 PAĐC GNBV'!G7</f>
        <v>Ngân sách trung ương</v>
      </c>
      <c r="E8" s="3" t="str">
        <f>'B2 PAĐC GNBV'!H7</f>
        <v>Ngân sách địa phương</v>
      </c>
      <c r="F8" s="675"/>
      <c r="G8" s="675"/>
      <c r="H8" s="675"/>
      <c r="I8" s="675"/>
    </row>
    <row r="9" spans="1:9" s="106" customFormat="1" ht="15.75" customHeight="1">
      <c r="A9" s="259">
        <v>1</v>
      </c>
      <c r="B9" s="259">
        <v>2</v>
      </c>
      <c r="C9" s="259" t="s">
        <v>12</v>
      </c>
      <c r="D9" s="259">
        <v>4</v>
      </c>
      <c r="E9" s="259">
        <v>5</v>
      </c>
      <c r="F9" s="259">
        <v>6</v>
      </c>
      <c r="G9" s="259" t="s">
        <v>927</v>
      </c>
      <c r="H9" s="259">
        <v>8</v>
      </c>
      <c r="I9" s="259">
        <v>9</v>
      </c>
    </row>
    <row r="10" spans="1:9" s="2" customFormat="1" ht="26.25" customHeight="1">
      <c r="A10" s="677" t="s">
        <v>25</v>
      </c>
      <c r="B10" s="677"/>
      <c r="C10" s="17">
        <f>C32+C46+C57+C78+C97+C113+C136+C164</f>
        <v>144397293589</v>
      </c>
      <c r="D10" s="17">
        <f>D32+D46+D57+D78+D97+D113+D136+D164</f>
        <v>142581046474</v>
      </c>
      <c r="E10" s="17">
        <f>E32+E46+E57+E78+E97+E113+E136+E164</f>
        <v>1816247115</v>
      </c>
      <c r="F10" s="17">
        <f t="shared" ref="F10:G10" si="0">F32+F46+F57+F78+F97+F113+F136+F164</f>
        <v>104326379877</v>
      </c>
      <c r="G10" s="17">
        <f t="shared" si="0"/>
        <v>40070913712</v>
      </c>
      <c r="H10" s="4"/>
      <c r="I10" s="4"/>
    </row>
    <row r="11" spans="1:9" ht="22.5" customHeight="1">
      <c r="A11" s="211"/>
      <c r="B11" s="212" t="s">
        <v>319</v>
      </c>
      <c r="C11" s="213">
        <f>C12+C15+C18+C23+C24+C25+C27</f>
        <v>144397293589</v>
      </c>
      <c r="D11" s="213">
        <f t="shared" ref="D11:G11" si="1">D12+D15+D18+D23+D24+D25+D27</f>
        <v>142581046474</v>
      </c>
      <c r="E11" s="213">
        <f t="shared" si="1"/>
        <v>1816247115</v>
      </c>
      <c r="F11" s="213">
        <f t="shared" si="1"/>
        <v>104326379877</v>
      </c>
      <c r="G11" s="213">
        <f t="shared" si="1"/>
        <v>40070913712</v>
      </c>
      <c r="H11" s="211"/>
      <c r="I11" s="211"/>
    </row>
    <row r="12" spans="1:9" s="2" customFormat="1" ht="39" customHeight="1">
      <c r="A12" s="8">
        <v>1</v>
      </c>
      <c r="B12" s="9" t="s">
        <v>58</v>
      </c>
      <c r="C12" s="20">
        <f>SUM(C13:C14)</f>
        <v>7498573945</v>
      </c>
      <c r="D12" s="20">
        <f t="shared" ref="D12:G12" si="2">SUM(D13:D14)</f>
        <v>7169070690</v>
      </c>
      <c r="E12" s="20">
        <f t="shared" si="2"/>
        <v>329503255</v>
      </c>
      <c r="F12" s="20">
        <f t="shared" si="2"/>
        <v>3818849335</v>
      </c>
      <c r="G12" s="20">
        <f t="shared" si="2"/>
        <v>3679724610</v>
      </c>
      <c r="H12" s="10"/>
      <c r="I12" s="10"/>
    </row>
    <row r="13" spans="1:9" ht="18.75" customHeight="1">
      <c r="A13" s="5"/>
      <c r="B13" s="6" t="s">
        <v>324</v>
      </c>
      <c r="C13" s="18">
        <f>C35+C49+C60+C75+C81+C101+C155+C139+C167</f>
        <v>6067099500</v>
      </c>
      <c r="D13" s="18">
        <f>D35+D49+D60+D75+D81+D101+D155+D139+D167</f>
        <v>5835957500</v>
      </c>
      <c r="E13" s="18">
        <f>E35+E49+E60+E75+E81+E101+E155+E139+E167</f>
        <v>231142000</v>
      </c>
      <c r="F13" s="18">
        <f>'B1 PAĐC DTTS'!F13</f>
        <v>3191600000</v>
      </c>
      <c r="G13" s="18">
        <f>C13-F13</f>
        <v>2875499500</v>
      </c>
      <c r="H13" s="6" t="s">
        <v>42</v>
      </c>
      <c r="I13" s="7"/>
    </row>
    <row r="14" spans="1:9" ht="22.5" customHeight="1">
      <c r="A14" s="5"/>
      <c r="B14" s="6" t="s">
        <v>325</v>
      </c>
      <c r="C14" s="18">
        <f>C36+C61+C82+C100+C116+C140+C156+C168</f>
        <v>1431474445</v>
      </c>
      <c r="D14" s="18">
        <f>D36+D61+D82+D100+D116+D140+D156+D168</f>
        <v>1333113190</v>
      </c>
      <c r="E14" s="18">
        <f>E36+E61+E82+E100+E116+E140+E156+E168</f>
        <v>98361255</v>
      </c>
      <c r="F14" s="18">
        <f>'B1 PAĐC DTTS'!F14</f>
        <v>627249335</v>
      </c>
      <c r="G14" s="18">
        <f t="shared" ref="G14:G30" si="3">C14-F14</f>
        <v>804225110</v>
      </c>
      <c r="H14" s="6" t="s">
        <v>34</v>
      </c>
      <c r="I14" s="7"/>
    </row>
    <row r="15" spans="1:9" s="2" customFormat="1" ht="63">
      <c r="A15" s="8">
        <v>2</v>
      </c>
      <c r="B15" s="9" t="s">
        <v>51</v>
      </c>
      <c r="C15" s="20">
        <f>SUM(C16:C17)</f>
        <v>96358091012</v>
      </c>
      <c r="D15" s="20">
        <f t="shared" ref="D15:G15" si="4">SUM(D16:D17)</f>
        <v>96339465012</v>
      </c>
      <c r="E15" s="20">
        <f t="shared" si="4"/>
        <v>18626000</v>
      </c>
      <c r="F15" s="20">
        <f t="shared" si="4"/>
        <v>78222989926</v>
      </c>
      <c r="G15" s="20">
        <f t="shared" si="4"/>
        <v>18135101086</v>
      </c>
      <c r="H15" s="10"/>
      <c r="I15" s="10"/>
    </row>
    <row r="16" spans="1:9" ht="47.25">
      <c r="A16" s="5"/>
      <c r="B16" s="6" t="s">
        <v>326</v>
      </c>
      <c r="C16" s="18">
        <f>C38+C63+C84+C103+C118+C142+C158+C170+C179</f>
        <v>96198709012</v>
      </c>
      <c r="D16" s="18">
        <f>D38+D63+D84+D103+D118+D142+D158+D170+D179</f>
        <v>96198709012</v>
      </c>
      <c r="E16" s="18">
        <f>E38+E63+E84+E103+E118+E142+E158+E170+E179</f>
        <v>0</v>
      </c>
      <c r="F16" s="18">
        <f>'B1 PAĐC DTTS'!F16</f>
        <v>78063607926</v>
      </c>
      <c r="G16" s="18">
        <f t="shared" si="3"/>
        <v>18135101086</v>
      </c>
      <c r="H16" s="6" t="s">
        <v>34</v>
      </c>
      <c r="I16" s="7"/>
    </row>
    <row r="17" spans="1:12" ht="63">
      <c r="A17" s="5"/>
      <c r="B17" s="6" t="s">
        <v>327</v>
      </c>
      <c r="C17" s="18">
        <f>C54+C119</f>
        <v>159382000</v>
      </c>
      <c r="D17" s="18">
        <f>D54+D119</f>
        <v>140756000</v>
      </c>
      <c r="E17" s="18">
        <f>E54+E119</f>
        <v>18626000</v>
      </c>
      <c r="F17" s="18">
        <f>'B1 PAĐC DTTS'!F17</f>
        <v>159382000</v>
      </c>
      <c r="G17" s="18">
        <f t="shared" si="3"/>
        <v>0</v>
      </c>
      <c r="H17" s="6" t="s">
        <v>34</v>
      </c>
      <c r="I17" s="7"/>
    </row>
    <row r="18" spans="1:12" s="2" customFormat="1" ht="37.5" customHeight="1">
      <c r="A18" s="8">
        <v>3</v>
      </c>
      <c r="B18" s="9" t="s">
        <v>35</v>
      </c>
      <c r="C18" s="20">
        <f>SUM(C19:C22)</f>
        <v>29082576838</v>
      </c>
      <c r="D18" s="20">
        <f t="shared" ref="D18:G18" si="5">SUM(D19:D22)</f>
        <v>27996277838</v>
      </c>
      <c r="E18" s="20">
        <f t="shared" si="5"/>
        <v>1086299000</v>
      </c>
      <c r="F18" s="20">
        <f t="shared" si="5"/>
        <v>15426326968</v>
      </c>
      <c r="G18" s="20">
        <f t="shared" si="5"/>
        <v>13656249870</v>
      </c>
      <c r="H18" s="10"/>
      <c r="I18" s="10"/>
    </row>
    <row r="19" spans="1:12" ht="78.75">
      <c r="A19" s="5"/>
      <c r="B19" s="6" t="s">
        <v>328</v>
      </c>
      <c r="C19" s="18">
        <f>C65+C172</f>
        <v>108040000</v>
      </c>
      <c r="D19" s="18">
        <f>D65+D172</f>
        <v>28675000</v>
      </c>
      <c r="E19" s="18">
        <f>E65+E172</f>
        <v>79365000</v>
      </c>
      <c r="F19" s="18">
        <f>'B1 PAĐC DTTS'!F21</f>
        <v>0</v>
      </c>
      <c r="G19" s="18">
        <f t="shared" si="3"/>
        <v>108040000</v>
      </c>
      <c r="H19" s="6" t="s">
        <v>138</v>
      </c>
      <c r="I19" s="7"/>
    </row>
    <row r="20" spans="1:12" ht="63">
      <c r="A20" s="5"/>
      <c r="B20" s="6" t="s">
        <v>329</v>
      </c>
      <c r="C20" s="18">
        <f>C66+C86</f>
        <v>132398721</v>
      </c>
      <c r="D20" s="18">
        <f t="shared" ref="D20:E20" si="6">D66+D86</f>
        <v>132398721</v>
      </c>
      <c r="E20" s="18">
        <f t="shared" si="6"/>
        <v>0</v>
      </c>
      <c r="F20" s="18">
        <f>0</f>
        <v>0</v>
      </c>
      <c r="G20" s="18">
        <f t="shared" si="3"/>
        <v>132398721</v>
      </c>
      <c r="H20" s="6" t="s">
        <v>138</v>
      </c>
      <c r="I20" s="7"/>
    </row>
    <row r="21" spans="1:12" ht="47.25">
      <c r="A21" s="5"/>
      <c r="B21" s="6" t="s">
        <v>330</v>
      </c>
      <c r="C21" s="18">
        <f>C40+C51+C56+C67+C87+C105+C121+C132+C144</f>
        <v>18243373310</v>
      </c>
      <c r="D21" s="18">
        <f>D40+D51+D56+D67+D87+D105+D121+D132+D144</f>
        <v>17236439310</v>
      </c>
      <c r="E21" s="18">
        <f>E40+E51+E56+E67+E87+E105+E121+E132+E144</f>
        <v>1006934000</v>
      </c>
      <c r="F21" s="18">
        <f>'B1 PAĐC DTTS'!F22</f>
        <v>8058972481</v>
      </c>
      <c r="G21" s="18">
        <f t="shared" si="3"/>
        <v>10184400829</v>
      </c>
      <c r="H21" s="6" t="s">
        <v>138</v>
      </c>
      <c r="I21" s="7"/>
    </row>
    <row r="22" spans="1:12" ht="47.25">
      <c r="A22" s="5"/>
      <c r="B22" s="6" t="s">
        <v>331</v>
      </c>
      <c r="C22" s="18">
        <f>C88+C106+C122+C145+C160+C41</f>
        <v>10598764807</v>
      </c>
      <c r="D22" s="18">
        <f>D88+D106+D122+D145+D160+D41</f>
        <v>10598764807</v>
      </c>
      <c r="E22" s="18">
        <f>E88+E106+E122+E145+E160+E41</f>
        <v>0</v>
      </c>
      <c r="F22" s="18">
        <f>'B1 PAĐC DTTS'!F23</f>
        <v>7367354487</v>
      </c>
      <c r="G22" s="18">
        <f t="shared" si="3"/>
        <v>3231410320</v>
      </c>
      <c r="H22" s="6" t="s">
        <v>138</v>
      </c>
      <c r="I22" s="7"/>
    </row>
    <row r="23" spans="1:12" s="2" customFormat="1" ht="63">
      <c r="A23" s="8">
        <v>4</v>
      </c>
      <c r="B23" s="9" t="s">
        <v>98</v>
      </c>
      <c r="C23" s="20">
        <f>C68+C89</f>
        <v>271489499</v>
      </c>
      <c r="D23" s="20">
        <f>D68+D89</f>
        <v>271489499</v>
      </c>
      <c r="E23" s="20">
        <f>E68+E89</f>
        <v>0</v>
      </c>
      <c r="F23" s="20">
        <v>0</v>
      </c>
      <c r="G23" s="20">
        <f t="shared" si="3"/>
        <v>271489499</v>
      </c>
      <c r="H23" s="215" t="s">
        <v>245</v>
      </c>
      <c r="I23" s="10"/>
    </row>
    <row r="24" spans="1:12" s="2" customFormat="1" ht="47.25">
      <c r="A24" s="8">
        <v>5</v>
      </c>
      <c r="B24" s="9" t="s">
        <v>100</v>
      </c>
      <c r="C24" s="20">
        <f>C42+C69+C90+C107+C123+C133+C146+C173+C177</f>
        <v>7600041379</v>
      </c>
      <c r="D24" s="20">
        <f>D42+D69+D90+D107+D123+D133+D146+D173+D177</f>
        <v>7329356309</v>
      </c>
      <c r="E24" s="20">
        <f>E42+E69+E90+E107+E123+E133+E146+E173+E177</f>
        <v>270685070</v>
      </c>
      <c r="F24" s="20">
        <f>'B1 PAĐC DTTS'!F25</f>
        <v>4447530032</v>
      </c>
      <c r="G24" s="20">
        <f t="shared" si="3"/>
        <v>3152511347</v>
      </c>
      <c r="H24" s="215" t="s">
        <v>42</v>
      </c>
      <c r="I24" s="10"/>
    </row>
    <row r="25" spans="1:12" s="2" customFormat="1" ht="47.25">
      <c r="A25" s="8">
        <v>6</v>
      </c>
      <c r="B25" s="9" t="s">
        <v>53</v>
      </c>
      <c r="C25" s="20">
        <f>C26</f>
        <v>404677330</v>
      </c>
      <c r="D25" s="20">
        <f t="shared" ref="D25:G25" si="7">D26</f>
        <v>404101130</v>
      </c>
      <c r="E25" s="20">
        <f t="shared" si="7"/>
        <v>576200.0000000057</v>
      </c>
      <c r="F25" s="20">
        <f t="shared" si="7"/>
        <v>250780620</v>
      </c>
      <c r="G25" s="20">
        <f t="shared" si="7"/>
        <v>153896710</v>
      </c>
      <c r="H25" s="10"/>
      <c r="I25" s="10"/>
    </row>
    <row r="26" spans="1:12" ht="47.25">
      <c r="A26" s="5"/>
      <c r="B26" s="6" t="s">
        <v>332</v>
      </c>
      <c r="C26" s="18">
        <f>C92+C109+C125+C150</f>
        <v>404677330</v>
      </c>
      <c r="D26" s="18">
        <f t="shared" ref="D26:E26" si="8">D92+D109+D125+D150</f>
        <v>404101130</v>
      </c>
      <c r="E26" s="18">
        <f t="shared" si="8"/>
        <v>576200.0000000057</v>
      </c>
      <c r="F26" s="18">
        <f>'B1 PAĐC DTTS'!F27</f>
        <v>250780620</v>
      </c>
      <c r="G26" s="18">
        <f t="shared" si="3"/>
        <v>153896710</v>
      </c>
      <c r="H26" s="7" t="s">
        <v>42</v>
      </c>
      <c r="I26" s="7"/>
    </row>
    <row r="27" spans="1:12" s="2" customFormat="1" ht="63">
      <c r="A27" s="8">
        <v>7</v>
      </c>
      <c r="B27" s="9" t="s">
        <v>72</v>
      </c>
      <c r="C27" s="20">
        <f>SUM(C28:C30)</f>
        <v>3181843586</v>
      </c>
      <c r="D27" s="20">
        <f t="shared" ref="D27:G27" si="9">SUM(D28:D30)</f>
        <v>3071285996</v>
      </c>
      <c r="E27" s="20">
        <f t="shared" si="9"/>
        <v>110557590</v>
      </c>
      <c r="F27" s="20">
        <f t="shared" si="9"/>
        <v>2159902996</v>
      </c>
      <c r="G27" s="20">
        <f t="shared" si="9"/>
        <v>1021940590</v>
      </c>
      <c r="H27" s="10"/>
      <c r="I27" s="10"/>
    </row>
    <row r="28" spans="1:12" ht="126">
      <c r="A28" s="5"/>
      <c r="B28" s="6" t="s">
        <v>333</v>
      </c>
      <c r="C28" s="18">
        <f>C94+C111+C127+C162+C44</f>
        <v>1687572120</v>
      </c>
      <c r="D28" s="18">
        <f>D94+D111+D127+D162+D44</f>
        <v>1606476130</v>
      </c>
      <c r="E28" s="18">
        <f>E94+E111+E127+E162+E44</f>
        <v>81095990</v>
      </c>
      <c r="F28" s="18">
        <f>'B1 PAĐC DTTS'!F29</f>
        <v>1228874530</v>
      </c>
      <c r="G28" s="18">
        <f t="shared" si="3"/>
        <v>458697590</v>
      </c>
      <c r="H28" s="7" t="s">
        <v>41</v>
      </c>
      <c r="I28" s="7"/>
    </row>
    <row r="29" spans="1:12" ht="63">
      <c r="A29" s="5"/>
      <c r="B29" s="6" t="s">
        <v>334</v>
      </c>
      <c r="C29" s="18">
        <f>C71+C95+C128+C135+C77+C152+C163+C175</f>
        <v>853000000</v>
      </c>
      <c r="D29" s="18">
        <f>D71+D95+D128+D135+D77+D152+D163+D175</f>
        <v>853000000</v>
      </c>
      <c r="E29" s="18">
        <f>E71+E95+E128+E135+E77+E152+E163+E175</f>
        <v>0</v>
      </c>
      <c r="F29" s="18">
        <f>'B1 PAĐC DTTS'!F30</f>
        <v>550000000</v>
      </c>
      <c r="G29" s="18">
        <f t="shared" si="3"/>
        <v>303000000</v>
      </c>
      <c r="H29" s="7" t="s">
        <v>41</v>
      </c>
      <c r="I29" s="7"/>
    </row>
    <row r="30" spans="1:12" ht="47.25">
      <c r="A30" s="5"/>
      <c r="B30" s="6" t="s">
        <v>335</v>
      </c>
      <c r="C30" s="18">
        <f>C72+C112+C129+C96+C45</f>
        <v>641271466</v>
      </c>
      <c r="D30" s="18">
        <f>D72+D112+D129+D96+D45</f>
        <v>611809866</v>
      </c>
      <c r="E30" s="18">
        <f>E72+E112+E129+E96+E45</f>
        <v>29461600</v>
      </c>
      <c r="F30" s="18">
        <f>'B1 PAĐC DTTS'!F31</f>
        <v>381028466</v>
      </c>
      <c r="G30" s="18">
        <f t="shared" si="3"/>
        <v>260243000</v>
      </c>
      <c r="H30" s="7" t="s">
        <v>336</v>
      </c>
      <c r="I30" s="7"/>
    </row>
    <row r="31" spans="1:12" ht="22.5" customHeight="1">
      <c r="A31" s="211"/>
      <c r="B31" s="212" t="s">
        <v>320</v>
      </c>
      <c r="C31" s="213">
        <f>C32+C46+C57+C78+C97+C113+C136+C164</f>
        <v>144397293589</v>
      </c>
      <c r="D31" s="213">
        <f t="shared" ref="D31:G31" si="10">D32+D46+D57+D78+D97+D113+D136+D164</f>
        <v>142581046474</v>
      </c>
      <c r="E31" s="213">
        <f t="shared" si="10"/>
        <v>1816247115</v>
      </c>
      <c r="F31" s="213">
        <f t="shared" si="10"/>
        <v>104326379877</v>
      </c>
      <c r="G31" s="213">
        <f t="shared" si="10"/>
        <v>40070913712</v>
      </c>
      <c r="H31" s="211"/>
      <c r="I31" s="211"/>
    </row>
    <row r="32" spans="1:12" s="2" customFormat="1" ht="21.75" customHeight="1">
      <c r="A32" s="23" t="s">
        <v>8</v>
      </c>
      <c r="B32" s="59" t="s">
        <v>81</v>
      </c>
      <c r="C32" s="25">
        <f>C33</f>
        <v>5189222440</v>
      </c>
      <c r="D32" s="25">
        <f>D33</f>
        <v>5128031365</v>
      </c>
      <c r="E32" s="25">
        <f>E33</f>
        <v>61191075</v>
      </c>
      <c r="F32" s="25">
        <f t="shared" ref="F32:G32" si="11">F33</f>
        <v>5006556600</v>
      </c>
      <c r="G32" s="25">
        <f t="shared" si="11"/>
        <v>182665840</v>
      </c>
      <c r="H32" s="24"/>
      <c r="I32" s="59"/>
      <c r="J32" s="88"/>
      <c r="K32" s="88"/>
      <c r="L32" s="88" t="e">
        <f>#REF!+E63+E84+E103+E118</f>
        <v>#REF!</v>
      </c>
    </row>
    <row r="33" spans="1:12" s="2" customFormat="1" ht="31.5">
      <c r="A33" s="14" t="s">
        <v>28</v>
      </c>
      <c r="B33" s="15" t="s">
        <v>43</v>
      </c>
      <c r="C33" s="21">
        <f>C34+C37+C39+C42+C43</f>
        <v>5189222440</v>
      </c>
      <c r="D33" s="21">
        <f t="shared" ref="D33:E33" si="12">D34+D37+D39+D42+D43</f>
        <v>5128031365</v>
      </c>
      <c r="E33" s="21">
        <f t="shared" si="12"/>
        <v>61191075</v>
      </c>
      <c r="F33" s="21">
        <f t="shared" ref="F33" si="13">F34+F37+F39+F42+F43</f>
        <v>5006556600</v>
      </c>
      <c r="G33" s="21">
        <f t="shared" ref="G33" si="14">G34+G37+G39+G42+G43</f>
        <v>182665840</v>
      </c>
      <c r="H33" s="16"/>
      <c r="I33" s="15"/>
      <c r="J33" s="88"/>
      <c r="K33" s="88"/>
      <c r="L33" s="88" t="e">
        <f>#REF!+E51+E56+E67+E87+E105+E121+E132</f>
        <v>#REF!</v>
      </c>
    </row>
    <row r="34" spans="1:12" s="2" customFormat="1" ht="31.5">
      <c r="A34" s="8">
        <v>1</v>
      </c>
      <c r="B34" s="9" t="s">
        <v>58</v>
      </c>
      <c r="C34" s="20">
        <f>SUM(C35:C36)</f>
        <v>147590000</v>
      </c>
      <c r="D34" s="20">
        <f t="shared" ref="D34:E34" si="15">SUM(D35:D36)</f>
        <v>138248625</v>
      </c>
      <c r="E34" s="20">
        <f t="shared" si="15"/>
        <v>9341375</v>
      </c>
      <c r="F34" s="20">
        <f t="shared" ref="F34" si="16">SUM(F35:F36)</f>
        <v>0</v>
      </c>
      <c r="G34" s="20">
        <f t="shared" ref="G34" si="17">SUM(G35:G36)</f>
        <v>147590000</v>
      </c>
      <c r="H34" s="10"/>
      <c r="I34" s="9"/>
      <c r="J34" s="88"/>
      <c r="K34" s="88"/>
      <c r="L34" s="88" t="e">
        <f>E42+#REF!+#REF!+#REF!+#REF!+#REF!</f>
        <v>#REF!</v>
      </c>
    </row>
    <row r="35" spans="1:12">
      <c r="A35" s="5" t="s">
        <v>32</v>
      </c>
      <c r="B35" s="6" t="s">
        <v>93</v>
      </c>
      <c r="C35" s="18">
        <f>SUM(D35:E35)</f>
        <v>73900000</v>
      </c>
      <c r="D35" s="18">
        <v>70502000</v>
      </c>
      <c r="E35" s="18">
        <v>3398000</v>
      </c>
      <c r="F35" s="18">
        <v>0</v>
      </c>
      <c r="G35" s="18">
        <f>C35-F35</f>
        <v>73900000</v>
      </c>
      <c r="H35" s="6" t="s">
        <v>42</v>
      </c>
      <c r="I35" s="6" t="s">
        <v>322</v>
      </c>
      <c r="J35" s="88"/>
      <c r="K35" s="88"/>
      <c r="L35" s="88" t="e">
        <f>#REF!+#REF!+#REF!</f>
        <v>#REF!</v>
      </c>
    </row>
    <row r="36" spans="1:12" ht="31.5">
      <c r="A36" s="5" t="s">
        <v>32</v>
      </c>
      <c r="B36" s="6" t="s">
        <v>321</v>
      </c>
      <c r="C36" s="18">
        <f>SUM(D36:E36)</f>
        <v>73690000</v>
      </c>
      <c r="D36" s="18">
        <v>67746625</v>
      </c>
      <c r="E36" s="18">
        <v>5943375</v>
      </c>
      <c r="F36" s="18">
        <v>0</v>
      </c>
      <c r="G36" s="18">
        <f t="shared" ref="G36:G45" si="18">C36-F36</f>
        <v>73690000</v>
      </c>
      <c r="H36" s="6" t="s">
        <v>34</v>
      </c>
      <c r="I36" s="6" t="s">
        <v>323</v>
      </c>
      <c r="J36" s="88"/>
      <c r="K36" s="88"/>
      <c r="L36" s="88"/>
    </row>
    <row r="37" spans="1:12" s="2" customFormat="1" ht="63">
      <c r="A37" s="8">
        <v>2</v>
      </c>
      <c r="B37" s="9" t="s">
        <v>51</v>
      </c>
      <c r="C37" s="20">
        <f>C38</f>
        <v>1886094500</v>
      </c>
      <c r="D37" s="20">
        <f t="shared" ref="D37:E37" si="19">D38</f>
        <v>1886094500</v>
      </c>
      <c r="E37" s="20">
        <f t="shared" si="19"/>
        <v>0</v>
      </c>
      <c r="F37" s="20">
        <f t="shared" ref="F37" si="20">F38</f>
        <v>1886094500</v>
      </c>
      <c r="G37" s="20">
        <f t="shared" ref="G37" si="21">G38</f>
        <v>0</v>
      </c>
      <c r="H37" s="10"/>
      <c r="I37" s="9"/>
    </row>
    <row r="38" spans="1:12" ht="47.25">
      <c r="A38" s="5" t="s">
        <v>32</v>
      </c>
      <c r="B38" s="6" t="s">
        <v>33</v>
      </c>
      <c r="C38" s="18">
        <f>SUM(D38:E38)</f>
        <v>1886094500</v>
      </c>
      <c r="D38" s="18">
        <v>1886094500</v>
      </c>
      <c r="E38" s="18">
        <v>0</v>
      </c>
      <c r="F38" s="18">
        <f>'B1 PAĐC DTTS'!F85</f>
        <v>1886094500</v>
      </c>
      <c r="G38" s="18">
        <f t="shared" si="18"/>
        <v>0</v>
      </c>
      <c r="H38" s="7" t="s">
        <v>34</v>
      </c>
      <c r="I38" s="6" t="s">
        <v>84</v>
      </c>
    </row>
    <row r="39" spans="1:12" s="2" customFormat="1" ht="31.5">
      <c r="A39" s="8">
        <v>3</v>
      </c>
      <c r="B39" s="9" t="s">
        <v>85</v>
      </c>
      <c r="C39" s="20">
        <f>C40+C41</f>
        <v>2412204000</v>
      </c>
      <c r="D39" s="20">
        <f t="shared" ref="D39:E39" si="22">D40+D41</f>
        <v>2365756000</v>
      </c>
      <c r="E39" s="20">
        <f t="shared" si="22"/>
        <v>46448000</v>
      </c>
      <c r="F39" s="20">
        <f t="shared" ref="F39" si="23">F40+F41</f>
        <v>2412204000</v>
      </c>
      <c r="G39" s="20">
        <f t="shared" ref="G39" si="24">G40+G41</f>
        <v>0</v>
      </c>
      <c r="H39" s="10"/>
      <c r="I39" s="9"/>
    </row>
    <row r="40" spans="1:12" ht="47.25">
      <c r="A40" s="5" t="s">
        <v>32</v>
      </c>
      <c r="B40" s="6" t="s">
        <v>36</v>
      </c>
      <c r="C40" s="18">
        <f>SUM(D40:E40)</f>
        <v>233771000</v>
      </c>
      <c r="D40" s="18">
        <v>187323000</v>
      </c>
      <c r="E40" s="18">
        <v>46448000</v>
      </c>
      <c r="F40" s="18">
        <f>'B1 PAĐC DTTS'!F87</f>
        <v>233771000</v>
      </c>
      <c r="G40" s="18">
        <f t="shared" si="18"/>
        <v>0</v>
      </c>
      <c r="H40" s="6" t="s">
        <v>37</v>
      </c>
      <c r="I40" s="6" t="s">
        <v>86</v>
      </c>
    </row>
    <row r="41" spans="1:12" s="86" customFormat="1" ht="47.25">
      <c r="A41" s="63" t="s">
        <v>32</v>
      </c>
      <c r="B41" s="30" t="s">
        <v>68</v>
      </c>
      <c r="C41" s="18">
        <f>SUM(D41:E41)</f>
        <v>2178433000</v>
      </c>
      <c r="D41" s="18">
        <v>2178433000</v>
      </c>
      <c r="E41" s="218"/>
      <c r="F41" s="218">
        <f>'B1 PAĐC DTTS'!F88</f>
        <v>2178433000</v>
      </c>
      <c r="G41" s="18">
        <f t="shared" si="18"/>
        <v>0</v>
      </c>
      <c r="H41" s="6" t="s">
        <v>37</v>
      </c>
      <c r="I41" s="22" t="s">
        <v>900</v>
      </c>
    </row>
    <row r="42" spans="1:12" s="2" customFormat="1" ht="47.25">
      <c r="A42" s="8">
        <v>4</v>
      </c>
      <c r="B42" s="9" t="s">
        <v>47</v>
      </c>
      <c r="C42" s="20">
        <f>SUM(D42:E42)</f>
        <v>35075840</v>
      </c>
      <c r="D42" s="20">
        <v>34996840</v>
      </c>
      <c r="E42" s="20">
        <v>79000</v>
      </c>
      <c r="F42" s="20">
        <v>0</v>
      </c>
      <c r="G42" s="20">
        <f t="shared" si="18"/>
        <v>35075840</v>
      </c>
      <c r="H42" s="215" t="s">
        <v>42</v>
      </c>
      <c r="I42" s="22" t="s">
        <v>87</v>
      </c>
    </row>
    <row r="43" spans="1:12" s="2" customFormat="1" ht="63">
      <c r="A43" s="8">
        <v>5</v>
      </c>
      <c r="B43" s="33" t="s">
        <v>45</v>
      </c>
      <c r="C43" s="20">
        <f>C44+C45</f>
        <v>708258100</v>
      </c>
      <c r="D43" s="20">
        <f t="shared" ref="D43:E43" si="25">D44+D45</f>
        <v>702935400</v>
      </c>
      <c r="E43" s="20">
        <f t="shared" si="25"/>
        <v>5322700</v>
      </c>
      <c r="F43" s="20">
        <f t="shared" ref="F43:G43" si="26">F44+F45</f>
        <v>708258100</v>
      </c>
      <c r="G43" s="20">
        <f t="shared" si="26"/>
        <v>0</v>
      </c>
      <c r="H43" s="10"/>
      <c r="I43" s="10"/>
    </row>
    <row r="44" spans="1:12" ht="126">
      <c r="A44" s="5" t="s">
        <v>32</v>
      </c>
      <c r="B44" s="6" t="s">
        <v>66</v>
      </c>
      <c r="C44" s="18">
        <f>D44+E44</f>
        <v>435746270</v>
      </c>
      <c r="D44" s="18">
        <v>435143170</v>
      </c>
      <c r="E44" s="18">
        <v>603100</v>
      </c>
      <c r="F44" s="18">
        <f>'B1 PAĐC DTTS'!F90</f>
        <v>435746270</v>
      </c>
      <c r="G44" s="18">
        <f t="shared" si="18"/>
        <v>0</v>
      </c>
      <c r="H44" s="7" t="s">
        <v>901</v>
      </c>
      <c r="I44" s="6" t="s">
        <v>902</v>
      </c>
    </row>
    <row r="45" spans="1:12" ht="31.5">
      <c r="A45" s="5" t="s">
        <v>32</v>
      </c>
      <c r="B45" s="6" t="s">
        <v>46</v>
      </c>
      <c r="C45" s="18">
        <f>D45+E45</f>
        <v>272511830</v>
      </c>
      <c r="D45" s="18">
        <v>267792230</v>
      </c>
      <c r="E45" s="18">
        <v>4719600</v>
      </c>
      <c r="F45" s="18">
        <f>'B1 PAĐC DTTS'!F91</f>
        <v>272511830</v>
      </c>
      <c r="G45" s="18">
        <f t="shared" si="18"/>
        <v>0</v>
      </c>
      <c r="H45" s="7" t="s">
        <v>34</v>
      </c>
      <c r="I45" s="6" t="s">
        <v>903</v>
      </c>
    </row>
    <row r="46" spans="1:12" s="2" customFormat="1" ht="21.75" customHeight="1">
      <c r="A46" s="23" t="s">
        <v>20</v>
      </c>
      <c r="B46" s="59" t="s">
        <v>49</v>
      </c>
      <c r="C46" s="25">
        <f>C47+C52</f>
        <v>9192961000</v>
      </c>
      <c r="D46" s="25">
        <f>D47+D52</f>
        <v>8423406000</v>
      </c>
      <c r="E46" s="25">
        <f>E47+E52</f>
        <v>769555000</v>
      </c>
      <c r="F46" s="25">
        <f t="shared" ref="F46:G46" si="27">F47+F52</f>
        <v>157736000</v>
      </c>
      <c r="G46" s="25">
        <f t="shared" si="27"/>
        <v>9035225000</v>
      </c>
      <c r="H46" s="24"/>
      <c r="I46" s="59"/>
    </row>
    <row r="47" spans="1:12" ht="31.5">
      <c r="A47" s="14" t="s">
        <v>28</v>
      </c>
      <c r="B47" s="15" t="s">
        <v>43</v>
      </c>
      <c r="C47" s="27">
        <f>C48+C50</f>
        <v>6281225000</v>
      </c>
      <c r="D47" s="27">
        <f>D48+D50</f>
        <v>5826650000</v>
      </c>
      <c r="E47" s="27">
        <f>E48+E50</f>
        <v>454575000</v>
      </c>
      <c r="F47" s="27">
        <f t="shared" ref="F47:G47" si="28">F48+F50</f>
        <v>0</v>
      </c>
      <c r="G47" s="27">
        <f t="shared" si="28"/>
        <v>6281225000</v>
      </c>
      <c r="H47" s="60"/>
      <c r="I47" s="15"/>
    </row>
    <row r="48" spans="1:12" s="2" customFormat="1" ht="31.5">
      <c r="A48" s="8">
        <v>1</v>
      </c>
      <c r="B48" s="9" t="s">
        <v>58</v>
      </c>
      <c r="C48" s="28">
        <f>C49</f>
        <v>983575000</v>
      </c>
      <c r="D48" s="28">
        <f>D49</f>
        <v>940000000</v>
      </c>
      <c r="E48" s="28">
        <f>E49</f>
        <v>43575000</v>
      </c>
      <c r="F48" s="28">
        <f t="shared" ref="F48:G48" si="29">F49</f>
        <v>0</v>
      </c>
      <c r="G48" s="28">
        <f t="shared" si="29"/>
        <v>983575000</v>
      </c>
      <c r="H48" s="10"/>
      <c r="I48" s="9"/>
    </row>
    <row r="49" spans="1:9" ht="31.5">
      <c r="A49" s="5" t="s">
        <v>32</v>
      </c>
      <c r="B49" s="6" t="s">
        <v>89</v>
      </c>
      <c r="C49" s="29">
        <f>D49+E49</f>
        <v>983575000</v>
      </c>
      <c r="D49" s="29">
        <v>940000000</v>
      </c>
      <c r="E49" s="29">
        <v>43575000</v>
      </c>
      <c r="F49" s="29">
        <v>0</v>
      </c>
      <c r="G49" s="29">
        <f>C49-F49</f>
        <v>983575000</v>
      </c>
      <c r="H49" s="6" t="s">
        <v>37</v>
      </c>
      <c r="I49" s="6" t="s">
        <v>91</v>
      </c>
    </row>
    <row r="50" spans="1:9" s="2" customFormat="1" ht="31.5">
      <c r="A50" s="8">
        <v>2</v>
      </c>
      <c r="B50" s="9" t="s">
        <v>85</v>
      </c>
      <c r="C50" s="28">
        <f>C51</f>
        <v>5297650000</v>
      </c>
      <c r="D50" s="28">
        <f>D51</f>
        <v>4886650000</v>
      </c>
      <c r="E50" s="28">
        <f>E51</f>
        <v>411000000</v>
      </c>
      <c r="F50" s="28">
        <f t="shared" ref="F50:G50" si="30">F51</f>
        <v>0</v>
      </c>
      <c r="G50" s="28">
        <f t="shared" si="30"/>
        <v>5297650000</v>
      </c>
      <c r="H50" s="10"/>
      <c r="I50" s="9"/>
    </row>
    <row r="51" spans="1:9" ht="47.25">
      <c r="A51" s="5" t="s">
        <v>32</v>
      </c>
      <c r="B51" s="6" t="s">
        <v>36</v>
      </c>
      <c r="C51" s="29">
        <f>D51+E51</f>
        <v>5297650000</v>
      </c>
      <c r="D51" s="29">
        <v>4886650000</v>
      </c>
      <c r="E51" s="29">
        <v>411000000</v>
      </c>
      <c r="F51" s="29">
        <v>0</v>
      </c>
      <c r="G51" s="29">
        <f t="shared" ref="G51:G56" si="31">C51-F51</f>
        <v>5297650000</v>
      </c>
      <c r="H51" s="6" t="s">
        <v>37</v>
      </c>
      <c r="I51" s="6" t="s">
        <v>91</v>
      </c>
    </row>
    <row r="52" spans="1:9">
      <c r="A52" s="14" t="s">
        <v>29</v>
      </c>
      <c r="B52" s="15" t="s">
        <v>21</v>
      </c>
      <c r="C52" s="27">
        <f>C53+C55</f>
        <v>2911736000</v>
      </c>
      <c r="D52" s="27">
        <f>D53+D55</f>
        <v>2596756000</v>
      </c>
      <c r="E52" s="27">
        <f>E53+E55</f>
        <v>314980000</v>
      </c>
      <c r="F52" s="27">
        <f t="shared" ref="F52:G52" si="32">F53+F55</f>
        <v>157736000</v>
      </c>
      <c r="G52" s="27">
        <f t="shared" si="32"/>
        <v>2754000000</v>
      </c>
      <c r="H52" s="61"/>
      <c r="I52" s="57"/>
    </row>
    <row r="53" spans="1:9" s="2" customFormat="1" ht="63">
      <c r="A53" s="8">
        <v>1</v>
      </c>
      <c r="B53" s="9" t="s">
        <v>51</v>
      </c>
      <c r="C53" s="28">
        <f>C54</f>
        <v>157736000</v>
      </c>
      <c r="D53" s="28">
        <f>D54</f>
        <v>140756000</v>
      </c>
      <c r="E53" s="28">
        <f>E54</f>
        <v>16980000</v>
      </c>
      <c r="F53" s="28">
        <f t="shared" ref="F53:G53" si="33">F54</f>
        <v>157736000</v>
      </c>
      <c r="G53" s="28">
        <f t="shared" si="33"/>
        <v>0</v>
      </c>
      <c r="H53" s="10"/>
      <c r="I53" s="9"/>
    </row>
    <row r="54" spans="1:9" ht="63">
      <c r="A54" s="5" t="s">
        <v>32</v>
      </c>
      <c r="B54" s="6" t="s">
        <v>52</v>
      </c>
      <c r="C54" s="29">
        <f>D54+E54</f>
        <v>157736000</v>
      </c>
      <c r="D54" s="29">
        <v>140756000</v>
      </c>
      <c r="E54" s="29">
        <v>16980000</v>
      </c>
      <c r="F54" s="29">
        <f>'B1 PAĐC DTTS'!F46</f>
        <v>157736000</v>
      </c>
      <c r="G54" s="29">
        <f t="shared" si="31"/>
        <v>0</v>
      </c>
      <c r="H54" s="6" t="s">
        <v>34</v>
      </c>
      <c r="I54" s="6" t="s">
        <v>91</v>
      </c>
    </row>
    <row r="55" spans="1:9" s="2" customFormat="1" ht="31.5">
      <c r="A55" s="8">
        <v>2</v>
      </c>
      <c r="B55" s="9" t="s">
        <v>85</v>
      </c>
      <c r="C55" s="28">
        <f>C56</f>
        <v>2754000000</v>
      </c>
      <c r="D55" s="28">
        <f>D56</f>
        <v>2456000000</v>
      </c>
      <c r="E55" s="28">
        <f>E56</f>
        <v>298000000</v>
      </c>
      <c r="F55" s="28">
        <f t="shared" ref="F55:G55" si="34">F56</f>
        <v>0</v>
      </c>
      <c r="G55" s="28">
        <f t="shared" si="34"/>
        <v>2754000000</v>
      </c>
      <c r="H55" s="10"/>
      <c r="I55" s="9"/>
    </row>
    <row r="56" spans="1:9" ht="47.25">
      <c r="A56" s="5" t="s">
        <v>32</v>
      </c>
      <c r="B56" s="6" t="s">
        <v>36</v>
      </c>
      <c r="C56" s="29">
        <f>D56+E56</f>
        <v>2754000000</v>
      </c>
      <c r="D56" s="29">
        <v>2456000000</v>
      </c>
      <c r="E56" s="29">
        <v>298000000</v>
      </c>
      <c r="F56" s="29">
        <v>0</v>
      </c>
      <c r="G56" s="29">
        <f t="shared" si="31"/>
        <v>2754000000</v>
      </c>
      <c r="H56" s="6" t="s">
        <v>37</v>
      </c>
      <c r="I56" s="6" t="s">
        <v>91</v>
      </c>
    </row>
    <row r="57" spans="1:9" s="2" customFormat="1" ht="21.75" customHeight="1">
      <c r="A57" s="23" t="s">
        <v>55</v>
      </c>
      <c r="B57" s="59" t="s">
        <v>30</v>
      </c>
      <c r="C57" s="25">
        <f>C58+C73</f>
        <v>15574381012</v>
      </c>
      <c r="D57" s="25">
        <f>D58+D73</f>
        <v>15322750012</v>
      </c>
      <c r="E57" s="25">
        <f>E58+E73</f>
        <v>251631000</v>
      </c>
      <c r="F57" s="25">
        <f>F58+F73</f>
        <v>6700000000</v>
      </c>
      <c r="G57" s="25">
        <f t="shared" ref="G57" si="35">G58+G73</f>
        <v>8874381012</v>
      </c>
      <c r="H57" s="24"/>
      <c r="I57" s="59"/>
    </row>
    <row r="58" spans="1:9" ht="31.5">
      <c r="A58" s="14" t="s">
        <v>28</v>
      </c>
      <c r="B58" s="15" t="s">
        <v>43</v>
      </c>
      <c r="C58" s="21">
        <f>C59+C62+C64+C68+C69+C70</f>
        <v>15249381012</v>
      </c>
      <c r="D58" s="21">
        <f>D59+D62+D64+D68+D69+D70</f>
        <v>15011750012</v>
      </c>
      <c r="E58" s="21">
        <f>E59+E62+E64+E68+E69+E70</f>
        <v>237631000</v>
      </c>
      <c r="F58" s="21">
        <f t="shared" ref="F58:G58" si="36">F59+F62+F64+F68+F69+F70</f>
        <v>6700000000</v>
      </c>
      <c r="G58" s="21">
        <f t="shared" si="36"/>
        <v>8549381012</v>
      </c>
      <c r="H58" s="21"/>
      <c r="I58" s="15"/>
    </row>
    <row r="59" spans="1:9" s="2" customFormat="1" ht="31.5">
      <c r="A59" s="8">
        <v>1</v>
      </c>
      <c r="B59" s="9" t="s">
        <v>92</v>
      </c>
      <c r="C59" s="20">
        <f>SUM(C60:C61)</f>
        <v>1167515110</v>
      </c>
      <c r="D59" s="20">
        <f>SUM(D60:D61)</f>
        <v>1112759110</v>
      </c>
      <c r="E59" s="20">
        <f>SUM(E60:E61)</f>
        <v>54756000</v>
      </c>
      <c r="F59" s="20">
        <f t="shared" ref="F59:G59" si="37">SUM(F60:F61)</f>
        <v>1159900000</v>
      </c>
      <c r="G59" s="20">
        <f t="shared" si="37"/>
        <v>7615110</v>
      </c>
      <c r="H59" s="20"/>
      <c r="I59" s="9"/>
    </row>
    <row r="60" spans="1:9" ht="31.5">
      <c r="A60" s="5" t="s">
        <v>32</v>
      </c>
      <c r="B60" s="6" t="s">
        <v>93</v>
      </c>
      <c r="C60" s="18">
        <f>SUM(D60:E60)</f>
        <v>1159900000</v>
      </c>
      <c r="D60" s="18">
        <f>346104000+762040000</f>
        <v>1108144000</v>
      </c>
      <c r="E60" s="18">
        <f>12756000+34000000+5000000</f>
        <v>51756000</v>
      </c>
      <c r="F60" s="18">
        <f>'B1 PAĐC DTTS'!F36</f>
        <v>1159900000</v>
      </c>
      <c r="G60" s="18">
        <f>C60-F60</f>
        <v>0</v>
      </c>
      <c r="H60" s="18" t="s">
        <v>34</v>
      </c>
      <c r="I60" s="6" t="s">
        <v>94</v>
      </c>
    </row>
    <row r="61" spans="1:9">
      <c r="A61" s="5" t="s">
        <v>32</v>
      </c>
      <c r="B61" s="6" t="s">
        <v>59</v>
      </c>
      <c r="C61" s="18">
        <f>SUM(D61:E61)</f>
        <v>7615110</v>
      </c>
      <c r="D61" s="18">
        <f>12500+4602610</f>
        <v>4615110</v>
      </c>
      <c r="E61" s="18">
        <f>2000000+1000000</f>
        <v>3000000</v>
      </c>
      <c r="F61" s="18">
        <v>0</v>
      </c>
      <c r="G61" s="18">
        <f t="shared" ref="G61:G72" si="38">C61-F61</f>
        <v>7615110</v>
      </c>
      <c r="H61" s="18" t="s">
        <v>34</v>
      </c>
      <c r="I61" s="6" t="s">
        <v>95</v>
      </c>
    </row>
    <row r="62" spans="1:9" s="2" customFormat="1" ht="63">
      <c r="A62" s="8">
        <v>2</v>
      </c>
      <c r="B62" s="9" t="s">
        <v>31</v>
      </c>
      <c r="C62" s="20">
        <f>C63</f>
        <v>10759692716</v>
      </c>
      <c r="D62" s="20">
        <f>D63</f>
        <v>10759692716</v>
      </c>
      <c r="E62" s="20">
        <f>E63</f>
        <v>0</v>
      </c>
      <c r="F62" s="20">
        <f t="shared" ref="F62:G62" si="39">F63</f>
        <v>3490100000</v>
      </c>
      <c r="G62" s="20">
        <f t="shared" si="39"/>
        <v>7269592716</v>
      </c>
      <c r="H62" s="10"/>
      <c r="I62" s="9"/>
    </row>
    <row r="63" spans="1:9" ht="135" customHeight="1">
      <c r="A63" s="5" t="s">
        <v>32</v>
      </c>
      <c r="B63" s="6" t="str">
        <f>'[1]B5.SNDTTS'!$B$70</f>
        <v>Tiểu dự án 1: Phát triển kinh tế nông, lâm nghiệp bền vững gắn với bảo vệ rừng và nâng cao thu nhập cho người dân</v>
      </c>
      <c r="C63" s="18">
        <f>SUM(D63:E63)</f>
        <v>10759692716</v>
      </c>
      <c r="D63" s="18">
        <f>6003584216+4756108500</f>
        <v>10759692716</v>
      </c>
      <c r="E63" s="18">
        <f>0</f>
        <v>0</v>
      </c>
      <c r="F63" s="18">
        <f>'B1 PAĐC DTTS'!F38</f>
        <v>3490100000</v>
      </c>
      <c r="G63" s="18">
        <f t="shared" si="38"/>
        <v>7269592716</v>
      </c>
      <c r="H63" s="7" t="s">
        <v>34</v>
      </c>
      <c r="I63" s="37" t="s">
        <v>337</v>
      </c>
    </row>
    <row r="64" spans="1:9" s="2" customFormat="1" ht="31.5">
      <c r="A64" s="8">
        <v>3</v>
      </c>
      <c r="B64" s="9" t="s">
        <v>35</v>
      </c>
      <c r="C64" s="20">
        <f>SUM(C65:C67)</f>
        <v>2093127720</v>
      </c>
      <c r="D64" s="20">
        <f>SUM(D65:D67)</f>
        <v>1922762720</v>
      </c>
      <c r="E64" s="20">
        <f>SUM(E65:E67)</f>
        <v>170365000</v>
      </c>
      <c r="F64" s="20">
        <f t="shared" ref="F64:G64" si="40">SUM(F65:F67)</f>
        <v>2050000000</v>
      </c>
      <c r="G64" s="20">
        <f t="shared" si="40"/>
        <v>43127720</v>
      </c>
      <c r="H64" s="10"/>
      <c r="I64" s="9"/>
    </row>
    <row r="65" spans="1:9" ht="78.75">
      <c r="A65" s="19" t="s">
        <v>32</v>
      </c>
      <c r="B65" s="6" t="str">
        <f>'[1]B5.SNDTTS'!$B$107</f>
        <v>Tiểu dự án 1: Đổi mới hoạt động, củng cố phát triển các trường phổ thông dân tộc nội trú, trường phổ thông dân tộc bán trú, trường phổ thông có học sinh ở bán trú và xóa mù chữ cho người dân vùng đồng bào dân tộc thiểu số</v>
      </c>
      <c r="C65" s="18">
        <f>SUM(D65:E65)</f>
        <v>28188000</v>
      </c>
      <c r="D65" s="18">
        <v>823000</v>
      </c>
      <c r="E65" s="18">
        <f>12365000+15000000</f>
        <v>27365000</v>
      </c>
      <c r="F65" s="18">
        <v>0</v>
      </c>
      <c r="G65" s="18">
        <f t="shared" si="38"/>
        <v>28188000</v>
      </c>
      <c r="H65" s="6" t="s">
        <v>37</v>
      </c>
      <c r="I65" s="6" t="s">
        <v>96</v>
      </c>
    </row>
    <row r="66" spans="1:9" ht="63">
      <c r="A66" s="19" t="s">
        <v>32</v>
      </c>
      <c r="B66" s="6" t="str">
        <f>'[1]B5.SNDTTS'!$B$110</f>
        <v>Tiểu dự án 2: Bồi dưỡng kiến thức dân tộc; đào tạo dự bị đại học, đại học và sau đại học đáp ứng nhu cầu nhân lực cho vùng đồng bào dân tộc thiểu số và miền núi</v>
      </c>
      <c r="C66" s="18">
        <f>SUM(D66:E66)</f>
        <v>7398721</v>
      </c>
      <c r="D66" s="18">
        <v>7398721</v>
      </c>
      <c r="E66" s="18"/>
      <c r="F66" s="18">
        <v>0</v>
      </c>
      <c r="G66" s="18">
        <f t="shared" si="38"/>
        <v>7398721</v>
      </c>
      <c r="H66" s="6" t="s">
        <v>37</v>
      </c>
      <c r="I66" s="6" t="s">
        <v>96</v>
      </c>
    </row>
    <row r="67" spans="1:9" ht="126">
      <c r="A67" s="19" t="s">
        <v>32</v>
      </c>
      <c r="B67" s="6" t="str">
        <f>'[1]B5.SNDTTS'!$B$113</f>
        <v>Tiểu dự án 3: Dự án phát triển giáo dục nghề nghiệp và giải quyết việc làm cho người lao động vùng dân tộc thiểu số và miền núi</v>
      </c>
      <c r="C67" s="18">
        <f>SUM(D67:E67)</f>
        <v>2057540999</v>
      </c>
      <c r="D67" s="18">
        <f>7540999+1907000000</f>
        <v>1914540999</v>
      </c>
      <c r="E67" s="18">
        <f>143000000</f>
        <v>143000000</v>
      </c>
      <c r="F67" s="18">
        <f>'B1 PAĐC DTTS'!F40</f>
        <v>2050000000</v>
      </c>
      <c r="G67" s="18">
        <f t="shared" si="38"/>
        <v>7540999</v>
      </c>
      <c r="H67" s="6" t="s">
        <v>37</v>
      </c>
      <c r="I67" s="6" t="s">
        <v>97</v>
      </c>
    </row>
    <row r="68" spans="1:9" s="2" customFormat="1" ht="70.5" customHeight="1">
      <c r="A68" s="8">
        <v>4</v>
      </c>
      <c r="B68" s="9" t="s">
        <v>98</v>
      </c>
      <c r="C68" s="20">
        <f>SUM(D68:E68)</f>
        <v>271150000</v>
      </c>
      <c r="D68" s="20">
        <v>271150000</v>
      </c>
      <c r="E68" s="20"/>
      <c r="F68" s="20">
        <v>0</v>
      </c>
      <c r="G68" s="20">
        <f t="shared" si="38"/>
        <v>271150000</v>
      </c>
      <c r="H68" s="215" t="s">
        <v>99</v>
      </c>
      <c r="I68" s="22" t="s">
        <v>107</v>
      </c>
    </row>
    <row r="69" spans="1:9" s="2" customFormat="1" ht="47.25">
      <c r="A69" s="8">
        <v>5</v>
      </c>
      <c r="B69" s="9" t="s">
        <v>100</v>
      </c>
      <c r="C69" s="20">
        <f>SUM(D69:E69)</f>
        <v>787812466</v>
      </c>
      <c r="D69" s="20">
        <f>633858466+147444000</f>
        <v>781302466</v>
      </c>
      <c r="E69" s="20">
        <v>6510000</v>
      </c>
      <c r="F69" s="20">
        <v>0</v>
      </c>
      <c r="G69" s="20">
        <f t="shared" si="38"/>
        <v>787812466</v>
      </c>
      <c r="H69" s="22" t="s">
        <v>101</v>
      </c>
      <c r="I69" s="22" t="s">
        <v>102</v>
      </c>
    </row>
    <row r="70" spans="1:9" s="2" customFormat="1" ht="63">
      <c r="A70" s="8">
        <v>6</v>
      </c>
      <c r="B70" s="9" t="s">
        <v>103</v>
      </c>
      <c r="C70" s="20">
        <f>SUM(C71:C72)</f>
        <v>170083000</v>
      </c>
      <c r="D70" s="20">
        <f>SUM(D71:D72)</f>
        <v>164083000</v>
      </c>
      <c r="E70" s="20">
        <f>SUM(E71:E72)</f>
        <v>6000000</v>
      </c>
      <c r="F70" s="20">
        <f t="shared" ref="F70:G70" si="41">SUM(F71:F72)</f>
        <v>0</v>
      </c>
      <c r="G70" s="20">
        <f t="shared" si="41"/>
        <v>170083000</v>
      </c>
      <c r="H70" s="10"/>
      <c r="I70" s="9"/>
    </row>
    <row r="71" spans="1:9" ht="63">
      <c r="A71" s="19" t="s">
        <v>32</v>
      </c>
      <c r="B71" s="6" t="s">
        <v>104</v>
      </c>
      <c r="C71" s="18">
        <f>SUM(D71:E71)</f>
        <v>116000000</v>
      </c>
      <c r="D71" s="18">
        <f>31000000+85000000</f>
        <v>116000000</v>
      </c>
      <c r="E71" s="18"/>
      <c r="F71" s="18">
        <v>0</v>
      </c>
      <c r="G71" s="18">
        <f t="shared" si="38"/>
        <v>116000000</v>
      </c>
      <c r="H71" s="6" t="s">
        <v>41</v>
      </c>
      <c r="I71" s="6" t="s">
        <v>105</v>
      </c>
    </row>
    <row r="72" spans="1:9" ht="31.5">
      <c r="A72" s="19" t="s">
        <v>32</v>
      </c>
      <c r="B72" s="6" t="s">
        <v>46</v>
      </c>
      <c r="C72" s="18">
        <f>SUM(D72:E72)</f>
        <v>54083000</v>
      </c>
      <c r="D72" s="18">
        <f>48083000</f>
        <v>48083000</v>
      </c>
      <c r="E72" s="18">
        <v>6000000</v>
      </c>
      <c r="F72" s="18">
        <v>0</v>
      </c>
      <c r="G72" s="18">
        <f t="shared" si="38"/>
        <v>54083000</v>
      </c>
      <c r="H72" s="7" t="s">
        <v>34</v>
      </c>
      <c r="I72" s="6" t="s">
        <v>96</v>
      </c>
    </row>
    <row r="73" spans="1:9">
      <c r="A73" s="14" t="s">
        <v>29</v>
      </c>
      <c r="B73" s="15" t="s">
        <v>21</v>
      </c>
      <c r="C73" s="21">
        <f>C74+C76</f>
        <v>325000000</v>
      </c>
      <c r="D73" s="21">
        <f>D74+D76</f>
        <v>311000000</v>
      </c>
      <c r="E73" s="21">
        <f t="shared" ref="E73:G73" si="42">E74+E76</f>
        <v>14000000</v>
      </c>
      <c r="F73" s="21">
        <f t="shared" si="42"/>
        <v>0</v>
      </c>
      <c r="G73" s="21">
        <f t="shared" si="42"/>
        <v>325000000</v>
      </c>
      <c r="H73" s="21"/>
      <c r="I73" s="15"/>
    </row>
    <row r="74" spans="1:9" s="2" customFormat="1" ht="31.5">
      <c r="A74" s="8">
        <v>1</v>
      </c>
      <c r="B74" s="9" t="s">
        <v>92</v>
      </c>
      <c r="C74" s="20">
        <f>C75</f>
        <v>290000000</v>
      </c>
      <c r="D74" s="20">
        <f>D75</f>
        <v>276000000</v>
      </c>
      <c r="E74" s="20">
        <f t="shared" ref="E74:G74" si="43">E75</f>
        <v>14000000</v>
      </c>
      <c r="F74" s="20">
        <f t="shared" si="43"/>
        <v>0</v>
      </c>
      <c r="G74" s="20">
        <f t="shared" si="43"/>
        <v>290000000</v>
      </c>
      <c r="H74" s="20"/>
      <c r="I74" s="9"/>
    </row>
    <row r="75" spans="1:9">
      <c r="A75" s="5" t="s">
        <v>32</v>
      </c>
      <c r="B75" s="6" t="s">
        <v>93</v>
      </c>
      <c r="C75" s="18">
        <f>SUM(D75:E75)</f>
        <v>290000000</v>
      </c>
      <c r="D75" s="18">
        <v>276000000</v>
      </c>
      <c r="E75" s="18">
        <v>14000000</v>
      </c>
      <c r="F75" s="18">
        <v>0</v>
      </c>
      <c r="G75" s="18">
        <f>C75-F75</f>
        <v>290000000</v>
      </c>
      <c r="H75" s="18" t="s">
        <v>34</v>
      </c>
      <c r="I75" s="6" t="s">
        <v>106</v>
      </c>
    </row>
    <row r="76" spans="1:9" s="2" customFormat="1" ht="63">
      <c r="A76" s="8">
        <v>2</v>
      </c>
      <c r="B76" s="9" t="s">
        <v>103</v>
      </c>
      <c r="C76" s="20">
        <f>C77</f>
        <v>35000000</v>
      </c>
      <c r="D76" s="20">
        <f>D77</f>
        <v>35000000</v>
      </c>
      <c r="E76" s="20">
        <f t="shared" ref="E76:G76" si="44">E77</f>
        <v>0</v>
      </c>
      <c r="F76" s="20">
        <f t="shared" si="44"/>
        <v>0</v>
      </c>
      <c r="G76" s="20">
        <f t="shared" si="44"/>
        <v>35000000</v>
      </c>
      <c r="H76" s="10"/>
      <c r="I76" s="9"/>
    </row>
    <row r="77" spans="1:9" ht="63">
      <c r="A77" s="19" t="s">
        <v>32</v>
      </c>
      <c r="B77" s="6" t="s">
        <v>104</v>
      </c>
      <c r="C77" s="18">
        <f>SUM(D77:E77)</f>
        <v>35000000</v>
      </c>
      <c r="D77" s="18">
        <v>35000000</v>
      </c>
      <c r="E77" s="18"/>
      <c r="F77" s="18">
        <v>0</v>
      </c>
      <c r="G77" s="18">
        <f t="shared" ref="G77" si="45">C77-F77</f>
        <v>35000000</v>
      </c>
      <c r="H77" s="6" t="s">
        <v>41</v>
      </c>
      <c r="I77" s="6" t="s">
        <v>105</v>
      </c>
    </row>
    <row r="78" spans="1:9" s="2" customFormat="1" ht="21.75" customHeight="1">
      <c r="A78" s="23" t="s">
        <v>56</v>
      </c>
      <c r="B78" s="59" t="s">
        <v>76</v>
      </c>
      <c r="C78" s="25">
        <f>C79</f>
        <v>24596945752</v>
      </c>
      <c r="D78" s="25">
        <f>D79</f>
        <v>24445022352</v>
      </c>
      <c r="E78" s="25">
        <f>E79</f>
        <v>151923400</v>
      </c>
      <c r="F78" s="25">
        <f t="shared" ref="F78:G78" si="46">F79</f>
        <v>17340010000</v>
      </c>
      <c r="G78" s="25">
        <f t="shared" si="46"/>
        <v>7256935752</v>
      </c>
      <c r="H78" s="24"/>
      <c r="I78" s="59"/>
    </row>
    <row r="79" spans="1:9" ht="31.5">
      <c r="A79" s="14" t="s">
        <v>28</v>
      </c>
      <c r="B79" s="15" t="s">
        <v>43</v>
      </c>
      <c r="C79" s="21">
        <f>C80+C83+C85+C89+C90+C91+C93</f>
        <v>24596945752</v>
      </c>
      <c r="D79" s="21">
        <f>D80+D83+D85+D89+D90+D91+D93</f>
        <v>24445022352</v>
      </c>
      <c r="E79" s="21">
        <f>E80+E83+E85+E89+E90+E91+E93</f>
        <v>151923400</v>
      </c>
      <c r="F79" s="21">
        <f t="shared" ref="F79:G79" si="47">F80+F83+F85+F89+F90+F91+F93</f>
        <v>17340010000</v>
      </c>
      <c r="G79" s="21">
        <f t="shared" si="47"/>
        <v>7256935752</v>
      </c>
      <c r="H79" s="16"/>
      <c r="I79" s="15"/>
    </row>
    <row r="80" spans="1:9" s="2" customFormat="1" ht="31.5">
      <c r="A80" s="8">
        <v>1</v>
      </c>
      <c r="B80" s="64" t="s">
        <v>58</v>
      </c>
      <c r="C80" s="20">
        <f>SUM(C81:C82)</f>
        <v>922894500</v>
      </c>
      <c r="D80" s="20">
        <f>SUM(D81:D82)</f>
        <v>882987100</v>
      </c>
      <c r="E80" s="20">
        <f>SUM(E81:E82)</f>
        <v>39907400</v>
      </c>
      <c r="F80" s="20">
        <f t="shared" ref="F80:G80" si="48">SUM(F81:F82)</f>
        <v>0</v>
      </c>
      <c r="G80" s="20">
        <f t="shared" si="48"/>
        <v>922894500</v>
      </c>
      <c r="H80" s="65">
        <f>SUM(H81:H82)</f>
        <v>0</v>
      </c>
      <c r="I80" s="9"/>
    </row>
    <row r="81" spans="1:9">
      <c r="A81" s="63" t="s">
        <v>32</v>
      </c>
      <c r="B81" s="66" t="s">
        <v>89</v>
      </c>
      <c r="C81" s="70">
        <f>SUM(D81:E81)</f>
        <v>488024500</v>
      </c>
      <c r="D81" s="70">
        <v>464647500</v>
      </c>
      <c r="E81" s="70">
        <v>23377000</v>
      </c>
      <c r="F81" s="70">
        <v>0</v>
      </c>
      <c r="G81" s="70">
        <f>C81-F81</f>
        <v>488024500</v>
      </c>
      <c r="H81" s="672" t="s">
        <v>34</v>
      </c>
      <c r="I81" s="22" t="s">
        <v>91</v>
      </c>
    </row>
    <row r="82" spans="1:9" ht="31.5">
      <c r="A82" s="63" t="s">
        <v>32</v>
      </c>
      <c r="B82" s="68" t="s">
        <v>108</v>
      </c>
      <c r="C82" s="70">
        <f>SUM(D82:E82)</f>
        <v>434870000</v>
      </c>
      <c r="D82" s="70">
        <v>418339600</v>
      </c>
      <c r="E82" s="70">
        <v>16530400</v>
      </c>
      <c r="F82" s="70">
        <v>0</v>
      </c>
      <c r="G82" s="70">
        <f t="shared" ref="G82:G96" si="49">C82-F82</f>
        <v>434870000</v>
      </c>
      <c r="H82" s="672"/>
      <c r="I82" s="22" t="s">
        <v>109</v>
      </c>
    </row>
    <row r="83" spans="1:9" s="2" customFormat="1" ht="63">
      <c r="A83" s="8">
        <v>2</v>
      </c>
      <c r="B83" s="64" t="s">
        <v>51</v>
      </c>
      <c r="C83" s="28">
        <f>C84</f>
        <v>17281281346</v>
      </c>
      <c r="D83" s="28">
        <f>D84</f>
        <v>17281281346</v>
      </c>
      <c r="E83" s="28">
        <f>E84</f>
        <v>0</v>
      </c>
      <c r="F83" s="28">
        <f t="shared" ref="F83:G83" si="50">F84</f>
        <v>11072579593</v>
      </c>
      <c r="G83" s="28">
        <f t="shared" si="50"/>
        <v>6208701753</v>
      </c>
      <c r="H83" s="62"/>
      <c r="I83" s="9"/>
    </row>
    <row r="84" spans="1:9" ht="173.25">
      <c r="A84" s="63" t="s">
        <v>32</v>
      </c>
      <c r="B84" s="68" t="s">
        <v>33</v>
      </c>
      <c r="C84" s="70">
        <f>SUM(D84:E84)</f>
        <v>17281281346</v>
      </c>
      <c r="D84" s="70">
        <v>17281281346</v>
      </c>
      <c r="E84" s="70"/>
      <c r="F84" s="70">
        <f>'B1 PAĐC DTTS'!F97</f>
        <v>11072579593</v>
      </c>
      <c r="G84" s="70">
        <f t="shared" si="49"/>
        <v>6208701753</v>
      </c>
      <c r="H84" s="215" t="s">
        <v>34</v>
      </c>
      <c r="I84" s="69" t="s">
        <v>113</v>
      </c>
    </row>
    <row r="85" spans="1:9" s="2" customFormat="1" ht="31.5">
      <c r="A85" s="8">
        <v>3</v>
      </c>
      <c r="B85" s="64" t="s">
        <v>85</v>
      </c>
      <c r="C85" s="28">
        <f>SUM(C86:C88)</f>
        <v>4473367517</v>
      </c>
      <c r="D85" s="28">
        <f t="shared" ref="D85:E85" si="51">SUM(D86:D88)</f>
        <v>4364881517</v>
      </c>
      <c r="E85" s="28">
        <f t="shared" si="51"/>
        <v>108486000</v>
      </c>
      <c r="F85" s="28">
        <f t="shared" ref="F85" si="52">SUM(F86:F88)</f>
        <v>4348367517</v>
      </c>
      <c r="G85" s="28">
        <f t="shared" ref="G85" si="53">SUM(G86:G88)</f>
        <v>125000000</v>
      </c>
      <c r="H85" s="62"/>
      <c r="I85" s="9"/>
    </row>
    <row r="86" spans="1:9" ht="63">
      <c r="A86" s="19" t="s">
        <v>32</v>
      </c>
      <c r="B86" s="6" t="str">
        <f>'[1]B5.SNDTTS'!$B$110</f>
        <v>Tiểu dự án 2: Bồi dưỡng kiến thức dân tộc; đào tạo dự bị đại học, đại học và sau đại học đáp ứng nhu cầu nhân lực cho vùng đồng bào dân tộc thiểu số và miền núi</v>
      </c>
      <c r="C86" s="18">
        <f>SUM(D86:E86)</f>
        <v>125000000</v>
      </c>
      <c r="D86" s="18">
        <v>125000000</v>
      </c>
      <c r="E86" s="18"/>
      <c r="F86" s="18">
        <v>0</v>
      </c>
      <c r="G86" s="70">
        <f t="shared" si="49"/>
        <v>125000000</v>
      </c>
      <c r="H86" s="6" t="s">
        <v>37</v>
      </c>
      <c r="I86" s="6" t="s">
        <v>922</v>
      </c>
    </row>
    <row r="87" spans="1:9" ht="76.5" customHeight="1">
      <c r="A87" s="5" t="s">
        <v>32</v>
      </c>
      <c r="B87" s="68" t="s">
        <v>36</v>
      </c>
      <c r="C87" s="29">
        <f>SUM(D87:E87)</f>
        <v>2447975220</v>
      </c>
      <c r="D87" s="29">
        <v>2339489220</v>
      </c>
      <c r="E87" s="29">
        <v>108486000</v>
      </c>
      <c r="F87" s="29">
        <f>'B1 PAĐC DTTS'!F99</f>
        <v>2447975220</v>
      </c>
      <c r="G87" s="70">
        <f t="shared" si="49"/>
        <v>0</v>
      </c>
      <c r="H87" s="214" t="s">
        <v>138</v>
      </c>
      <c r="I87" s="6" t="s">
        <v>110</v>
      </c>
    </row>
    <row r="88" spans="1:9" ht="47.25">
      <c r="A88" s="5" t="s">
        <v>32</v>
      </c>
      <c r="B88" s="68" t="s">
        <v>68</v>
      </c>
      <c r="C88" s="29">
        <f>SUM(D88:E88)</f>
        <v>1900392297</v>
      </c>
      <c r="D88" s="29">
        <v>1900392297</v>
      </c>
      <c r="E88" s="29"/>
      <c r="F88" s="29">
        <f>'B1 PAĐC DTTS'!F100</f>
        <v>1900392297</v>
      </c>
      <c r="G88" s="70">
        <f t="shared" si="49"/>
        <v>0</v>
      </c>
      <c r="H88" s="214" t="s">
        <v>138</v>
      </c>
      <c r="I88" s="6" t="s">
        <v>111</v>
      </c>
    </row>
    <row r="89" spans="1:9" s="2" customFormat="1" ht="63">
      <c r="A89" s="8">
        <v>4</v>
      </c>
      <c r="B89" s="64" t="s">
        <v>98</v>
      </c>
      <c r="C89" s="28">
        <f>SUM(D89:E89)</f>
        <v>339499</v>
      </c>
      <c r="D89" s="28">
        <v>339499</v>
      </c>
      <c r="E89" s="28"/>
      <c r="F89" s="28">
        <v>0</v>
      </c>
      <c r="G89" s="28">
        <f t="shared" si="49"/>
        <v>339499</v>
      </c>
      <c r="H89" s="67" t="s">
        <v>245</v>
      </c>
      <c r="I89" s="9"/>
    </row>
    <row r="90" spans="1:9" s="2" customFormat="1" ht="189.75" customHeight="1">
      <c r="A90" s="8">
        <v>5</v>
      </c>
      <c r="B90" s="64" t="s">
        <v>47</v>
      </c>
      <c r="C90" s="28">
        <f>SUM(D90:E90)</f>
        <v>1373887490</v>
      </c>
      <c r="D90" s="28">
        <v>1370487490</v>
      </c>
      <c r="E90" s="28">
        <v>3400000</v>
      </c>
      <c r="F90" s="28">
        <f>'B1 PAĐC DTTS'!F101</f>
        <v>1373887490</v>
      </c>
      <c r="G90" s="28">
        <f t="shared" si="49"/>
        <v>0</v>
      </c>
      <c r="H90" s="67" t="s">
        <v>42</v>
      </c>
      <c r="I90" s="22" t="s">
        <v>114</v>
      </c>
    </row>
    <row r="91" spans="1:9" s="2" customFormat="1" ht="47.25">
      <c r="A91" s="8">
        <v>6</v>
      </c>
      <c r="B91" s="64" t="s">
        <v>53</v>
      </c>
      <c r="C91" s="28">
        <f>C92</f>
        <v>129000000</v>
      </c>
      <c r="D91" s="28">
        <f>D92</f>
        <v>129000000</v>
      </c>
      <c r="E91" s="28">
        <f>E92</f>
        <v>0</v>
      </c>
      <c r="F91" s="28">
        <f t="shared" ref="F91:G91" si="54">F92</f>
        <v>129000000</v>
      </c>
      <c r="G91" s="28">
        <f t="shared" si="54"/>
        <v>0</v>
      </c>
      <c r="H91" s="62"/>
      <c r="I91" s="9"/>
    </row>
    <row r="92" spans="1:9" ht="47.25">
      <c r="A92" s="63" t="s">
        <v>32</v>
      </c>
      <c r="B92" s="68" t="s">
        <v>54</v>
      </c>
      <c r="C92" s="70">
        <f>+D92+E92</f>
        <v>129000000</v>
      </c>
      <c r="D92" s="70">
        <v>129000000</v>
      </c>
      <c r="E92" s="70"/>
      <c r="F92" s="70">
        <f>'B1 PAĐC DTTS'!F105</f>
        <v>129000000</v>
      </c>
      <c r="G92" s="70">
        <f t="shared" si="49"/>
        <v>0</v>
      </c>
      <c r="H92" s="67" t="s">
        <v>42</v>
      </c>
      <c r="I92" s="22" t="s">
        <v>115</v>
      </c>
    </row>
    <row r="93" spans="1:9" s="2" customFormat="1" ht="63">
      <c r="A93" s="8">
        <v>7</v>
      </c>
      <c r="B93" s="64" t="s">
        <v>45</v>
      </c>
      <c r="C93" s="28">
        <f>SUM(C94:C96)</f>
        <v>416175400</v>
      </c>
      <c r="D93" s="28">
        <f t="shared" ref="D93:G93" si="55">SUM(D94:D96)</f>
        <v>416045400</v>
      </c>
      <c r="E93" s="28">
        <f t="shared" si="55"/>
        <v>130000</v>
      </c>
      <c r="F93" s="28">
        <f t="shared" si="55"/>
        <v>416175400</v>
      </c>
      <c r="G93" s="28">
        <f t="shared" si="55"/>
        <v>0</v>
      </c>
      <c r="H93" s="62"/>
      <c r="I93" s="9"/>
    </row>
    <row r="94" spans="1:9" ht="126">
      <c r="A94" s="63" t="s">
        <v>32</v>
      </c>
      <c r="B94" s="68" t="s">
        <v>66</v>
      </c>
      <c r="C94" s="70">
        <f>SUM(D94:E94)</f>
        <v>137675400</v>
      </c>
      <c r="D94" s="70">
        <v>137675400</v>
      </c>
      <c r="E94" s="70"/>
      <c r="F94" s="70">
        <f>'B1 PAĐC DTTS'!F107</f>
        <v>137675400</v>
      </c>
      <c r="G94" s="70">
        <f t="shared" si="49"/>
        <v>0</v>
      </c>
      <c r="H94" s="67" t="s">
        <v>41</v>
      </c>
      <c r="I94" s="22" t="s">
        <v>116</v>
      </c>
    </row>
    <row r="95" spans="1:9" ht="63">
      <c r="A95" s="63" t="s">
        <v>32</v>
      </c>
      <c r="B95" s="68" t="s">
        <v>104</v>
      </c>
      <c r="C95" s="70">
        <f>SUM(D95:E95)</f>
        <v>189000000</v>
      </c>
      <c r="D95" s="70">
        <f>138000000+51000000</f>
        <v>189000000</v>
      </c>
      <c r="E95" s="70"/>
      <c r="F95" s="70">
        <f>'B1 PAĐC DTTS'!F108</f>
        <v>189000000</v>
      </c>
      <c r="G95" s="70">
        <f t="shared" si="49"/>
        <v>0</v>
      </c>
      <c r="H95" s="67" t="s">
        <v>41</v>
      </c>
      <c r="I95" s="22" t="s">
        <v>112</v>
      </c>
    </row>
    <row r="96" spans="1:9" ht="31.5">
      <c r="A96" s="5" t="s">
        <v>32</v>
      </c>
      <c r="B96" s="6" t="s">
        <v>46</v>
      </c>
      <c r="C96" s="70">
        <f>SUM(D96:E96)</f>
        <v>89500000</v>
      </c>
      <c r="D96" s="18">
        <v>89370000</v>
      </c>
      <c r="E96" s="18">
        <v>130000</v>
      </c>
      <c r="F96" s="18">
        <f>'B1 PAĐC DTTS'!F109</f>
        <v>89500000</v>
      </c>
      <c r="G96" s="70">
        <f t="shared" si="49"/>
        <v>0</v>
      </c>
      <c r="H96" s="215" t="s">
        <v>34</v>
      </c>
      <c r="I96" s="22" t="s">
        <v>126</v>
      </c>
    </row>
    <row r="97" spans="1:11" s="2" customFormat="1" ht="21.75" customHeight="1">
      <c r="A97" s="23" t="s">
        <v>74</v>
      </c>
      <c r="B97" s="59" t="s">
        <v>57</v>
      </c>
      <c r="C97" s="25">
        <f>C98</f>
        <v>12380896676</v>
      </c>
      <c r="D97" s="25">
        <f>D98</f>
        <v>12206594366</v>
      </c>
      <c r="E97" s="25">
        <f>E98</f>
        <v>174302310</v>
      </c>
      <c r="F97" s="25">
        <f t="shared" ref="F97:G97" si="56">F98</f>
        <v>11201896676</v>
      </c>
      <c r="G97" s="25">
        <f t="shared" si="56"/>
        <v>1179000000</v>
      </c>
      <c r="H97" s="25"/>
      <c r="I97" s="59"/>
    </row>
    <row r="98" spans="1:11" ht="31.5">
      <c r="A98" s="14" t="s">
        <v>28</v>
      </c>
      <c r="B98" s="15" t="s">
        <v>43</v>
      </c>
      <c r="C98" s="21">
        <f>C99+C102+C104+C107+C108+C110</f>
        <v>12380896676</v>
      </c>
      <c r="D98" s="21">
        <f>D99+D102+D104+D107+D108+D110</f>
        <v>12206594366</v>
      </c>
      <c r="E98" s="21">
        <f>E99+E102+E104+E107+E108+E110</f>
        <v>174302310</v>
      </c>
      <c r="F98" s="21">
        <f t="shared" ref="F98:G98" si="57">F99+F102+F104+F107+F108+F110</f>
        <v>11201896676</v>
      </c>
      <c r="G98" s="21">
        <f t="shared" si="57"/>
        <v>1179000000</v>
      </c>
      <c r="H98" s="21"/>
      <c r="I98" s="15"/>
    </row>
    <row r="99" spans="1:11" s="2" customFormat="1" ht="31.5">
      <c r="A99" s="8">
        <v>1</v>
      </c>
      <c r="B99" s="9" t="s">
        <v>58</v>
      </c>
      <c r="C99" s="20">
        <f>SUM(C100:C101)</f>
        <v>958825480</v>
      </c>
      <c r="D99" s="20">
        <f>SUM(D100:D101)</f>
        <v>908302000</v>
      </c>
      <c r="E99" s="20">
        <f>SUM(E100:E101)</f>
        <v>50523480</v>
      </c>
      <c r="F99" s="20">
        <f t="shared" ref="F99:G99" si="58">SUM(F100:F101)</f>
        <v>958825480</v>
      </c>
      <c r="G99" s="20">
        <f t="shared" si="58"/>
        <v>0</v>
      </c>
      <c r="H99" s="215" t="s">
        <v>34</v>
      </c>
      <c r="I99" s="9"/>
    </row>
    <row r="100" spans="1:11">
      <c r="A100" s="5" t="s">
        <v>32</v>
      </c>
      <c r="B100" s="6" t="s">
        <v>59</v>
      </c>
      <c r="C100" s="18">
        <f>SUM(D100:E100)</f>
        <v>145325480</v>
      </c>
      <c r="D100" s="18">
        <v>132438000.00000001</v>
      </c>
      <c r="E100" s="18">
        <v>12887479.999999998</v>
      </c>
      <c r="F100" s="18">
        <f>'B1 PAĐC DTTS'!F53</f>
        <v>145325479.99999997</v>
      </c>
      <c r="G100" s="18">
        <f>C100-F100</f>
        <v>0</v>
      </c>
      <c r="H100" s="215"/>
      <c r="I100" s="22" t="s">
        <v>117</v>
      </c>
    </row>
    <row r="101" spans="1:11">
      <c r="A101" s="5" t="s">
        <v>32</v>
      </c>
      <c r="B101" s="6" t="s">
        <v>60</v>
      </c>
      <c r="C101" s="18">
        <f>SUM(D101:E101)</f>
        <v>813500000</v>
      </c>
      <c r="D101" s="18">
        <v>775864000</v>
      </c>
      <c r="E101" s="18">
        <v>37636000</v>
      </c>
      <c r="F101" s="18">
        <f>'B1 PAĐC DTTS'!F52</f>
        <v>813500000</v>
      </c>
      <c r="G101" s="18">
        <f t="shared" ref="G101:G112" si="59">C101-F101</f>
        <v>0</v>
      </c>
      <c r="H101" s="215"/>
      <c r="I101" s="22" t="s">
        <v>90</v>
      </c>
    </row>
    <row r="102" spans="1:11" s="2" customFormat="1" ht="63">
      <c r="A102" s="8">
        <v>2</v>
      </c>
      <c r="B102" s="9" t="s">
        <v>61</v>
      </c>
      <c r="C102" s="20">
        <f>C103</f>
        <v>7323905353</v>
      </c>
      <c r="D102" s="20">
        <f>D103</f>
        <v>7323905353</v>
      </c>
      <c r="E102" s="20">
        <f>E103</f>
        <v>0</v>
      </c>
      <c r="F102" s="20">
        <f t="shared" ref="F102:G102" si="60">F103</f>
        <v>7323905353</v>
      </c>
      <c r="G102" s="20">
        <f t="shared" si="60"/>
        <v>0</v>
      </c>
      <c r="H102" s="215"/>
      <c r="I102" s="22"/>
      <c r="J102" s="1"/>
      <c r="K102" s="1"/>
    </row>
    <row r="103" spans="1:11" ht="47.25">
      <c r="A103" s="5" t="s">
        <v>32</v>
      </c>
      <c r="B103" s="6" t="s">
        <v>62</v>
      </c>
      <c r="C103" s="18">
        <f>SUM(D103:E103)</f>
        <v>7323905353</v>
      </c>
      <c r="D103" s="18">
        <v>7323905353</v>
      </c>
      <c r="E103" s="18">
        <v>0</v>
      </c>
      <c r="F103" s="18">
        <f>'B1 PAĐC DTTS'!F55</f>
        <v>7323905353</v>
      </c>
      <c r="G103" s="18">
        <f t="shared" si="59"/>
        <v>0</v>
      </c>
      <c r="H103" s="215" t="s">
        <v>34</v>
      </c>
      <c r="I103" s="22" t="s">
        <v>118</v>
      </c>
    </row>
    <row r="104" spans="1:11" s="2" customFormat="1" ht="31.5">
      <c r="A104" s="8">
        <v>3</v>
      </c>
      <c r="B104" s="9" t="s">
        <v>64</v>
      </c>
      <c r="C104" s="20">
        <f>SUM(C105:C106)</f>
        <v>2222252110</v>
      </c>
      <c r="D104" s="20">
        <f>SUM(D105:D106)</f>
        <v>2222252110</v>
      </c>
      <c r="E104" s="20">
        <f>SUM(E105:E106)</f>
        <v>0</v>
      </c>
      <c r="F104" s="20">
        <f t="shared" ref="F104:G104" si="61">SUM(F105:F106)</f>
        <v>1255722110</v>
      </c>
      <c r="G104" s="20">
        <f t="shared" si="61"/>
        <v>966530000</v>
      </c>
      <c r="H104" s="215"/>
      <c r="I104" s="22"/>
      <c r="J104" s="1"/>
      <c r="K104" s="1"/>
    </row>
    <row r="105" spans="1:11" ht="78.75">
      <c r="A105" s="5" t="s">
        <v>32</v>
      </c>
      <c r="B105" s="6" t="s">
        <v>119</v>
      </c>
      <c r="C105" s="18">
        <f>SUM(D105:E105)</f>
        <v>198339119.99999991</v>
      </c>
      <c r="D105" s="18">
        <v>198339119.99999991</v>
      </c>
      <c r="E105" s="18">
        <v>0</v>
      </c>
      <c r="F105" s="18">
        <f>'B1 PAĐC DTTS'!F57</f>
        <v>198339120</v>
      </c>
      <c r="G105" s="18">
        <f t="shared" si="59"/>
        <v>0</v>
      </c>
      <c r="H105" s="22" t="s">
        <v>37</v>
      </c>
      <c r="I105" s="22" t="s">
        <v>120</v>
      </c>
    </row>
    <row r="106" spans="1:11" ht="47.25">
      <c r="A106" s="5" t="s">
        <v>32</v>
      </c>
      <c r="B106" s="6" t="s">
        <v>68</v>
      </c>
      <c r="C106" s="18">
        <f>SUM(D106:E106)</f>
        <v>2023912990</v>
      </c>
      <c r="D106" s="18">
        <v>2023912990</v>
      </c>
      <c r="E106" s="18">
        <v>0</v>
      </c>
      <c r="F106" s="18">
        <f>'B1 PAĐC DTTS'!F58</f>
        <v>1057382990</v>
      </c>
      <c r="G106" s="18">
        <f t="shared" si="59"/>
        <v>966530000</v>
      </c>
      <c r="H106" s="22" t="s">
        <v>37</v>
      </c>
      <c r="I106" s="22" t="s">
        <v>121</v>
      </c>
    </row>
    <row r="107" spans="1:11" s="2" customFormat="1" ht="63">
      <c r="A107" s="8">
        <v>4</v>
      </c>
      <c r="B107" s="9" t="s">
        <v>47</v>
      </c>
      <c r="C107" s="20">
        <f>SUM(D107:E107)</f>
        <v>1092972669.9999998</v>
      </c>
      <c r="D107" s="20">
        <v>1032276599.9999999</v>
      </c>
      <c r="E107" s="20">
        <v>60696069.999999993</v>
      </c>
      <c r="F107" s="20">
        <f>'B1 PAĐC DTTS'!F59</f>
        <v>1092972670</v>
      </c>
      <c r="G107" s="20">
        <f t="shared" si="59"/>
        <v>0</v>
      </c>
      <c r="H107" s="22" t="s">
        <v>122</v>
      </c>
      <c r="I107" s="22" t="s">
        <v>123</v>
      </c>
      <c r="J107" s="1"/>
      <c r="K107" s="1"/>
    </row>
    <row r="108" spans="1:11" s="2" customFormat="1" ht="47.25">
      <c r="A108" s="8">
        <v>5</v>
      </c>
      <c r="B108" s="9" t="s">
        <v>53</v>
      </c>
      <c r="C108" s="20">
        <f>C109</f>
        <v>1001567.0000000014</v>
      </c>
      <c r="D108" s="20">
        <f>D109</f>
        <v>525366.99999999569</v>
      </c>
      <c r="E108" s="20">
        <f>E109</f>
        <v>476200.0000000057</v>
      </c>
      <c r="F108" s="20">
        <f t="shared" ref="F108:G108" si="62">F109</f>
        <v>1001567.0000000014</v>
      </c>
      <c r="G108" s="20">
        <f t="shared" si="62"/>
        <v>0</v>
      </c>
      <c r="H108" s="215"/>
      <c r="I108" s="22"/>
      <c r="J108" s="1"/>
      <c r="K108" s="1"/>
    </row>
    <row r="109" spans="1:11" ht="47.25">
      <c r="A109" s="5" t="s">
        <v>32</v>
      </c>
      <c r="B109" s="6" t="s">
        <v>54</v>
      </c>
      <c r="C109" s="18">
        <f>SUM(D109:E109)</f>
        <v>1001567.0000000014</v>
      </c>
      <c r="D109" s="18">
        <v>525366.99999999569</v>
      </c>
      <c r="E109" s="18">
        <v>476200.0000000057</v>
      </c>
      <c r="F109" s="18">
        <f>'B1 PAĐC DTTS'!F63</f>
        <v>1001567.0000000014</v>
      </c>
      <c r="G109" s="18">
        <f t="shared" si="59"/>
        <v>0</v>
      </c>
      <c r="H109" s="215" t="s">
        <v>42</v>
      </c>
      <c r="I109" s="22" t="s">
        <v>124</v>
      </c>
    </row>
    <row r="110" spans="1:11" s="2" customFormat="1" ht="63">
      <c r="A110" s="8">
        <v>6</v>
      </c>
      <c r="B110" s="9" t="s">
        <v>65</v>
      </c>
      <c r="C110" s="20">
        <f>SUM(C111:C112)</f>
        <v>781939496</v>
      </c>
      <c r="D110" s="20">
        <f>SUM(D111:D112)</f>
        <v>719332936</v>
      </c>
      <c r="E110" s="20">
        <f>SUM(E111:E112)</f>
        <v>62606560</v>
      </c>
      <c r="F110" s="20">
        <f t="shared" ref="F110:G110" si="63">SUM(F111:F112)</f>
        <v>569469496</v>
      </c>
      <c r="G110" s="20">
        <f t="shared" si="63"/>
        <v>212470000</v>
      </c>
      <c r="H110" s="215"/>
      <c r="I110" s="22"/>
      <c r="J110" s="1"/>
      <c r="K110" s="1"/>
    </row>
    <row r="111" spans="1:11" ht="126">
      <c r="A111" s="5" t="s">
        <v>32</v>
      </c>
      <c r="B111" s="6" t="s">
        <v>66</v>
      </c>
      <c r="C111" s="18">
        <f>SUM(D111:E111)</f>
        <v>767922860</v>
      </c>
      <c r="D111" s="18">
        <v>709316300</v>
      </c>
      <c r="E111" s="18">
        <v>58606560</v>
      </c>
      <c r="F111" s="18">
        <f>'B1 PAĐC DTTS'!F65</f>
        <v>555452860</v>
      </c>
      <c r="G111" s="18">
        <f t="shared" si="59"/>
        <v>212470000</v>
      </c>
      <c r="H111" s="215" t="s">
        <v>41</v>
      </c>
      <c r="I111" s="22" t="s">
        <v>125</v>
      </c>
    </row>
    <row r="112" spans="1:11" ht="31.5">
      <c r="A112" s="5" t="s">
        <v>32</v>
      </c>
      <c r="B112" s="6" t="s">
        <v>46</v>
      </c>
      <c r="C112" s="18">
        <f>SUM(D112:E112)</f>
        <v>14016636</v>
      </c>
      <c r="D112" s="18">
        <v>10016636</v>
      </c>
      <c r="E112" s="18">
        <v>4000000</v>
      </c>
      <c r="F112" s="18">
        <f>'B1 PAĐC DTTS'!F66</f>
        <v>14016636</v>
      </c>
      <c r="G112" s="18">
        <f t="shared" si="59"/>
        <v>0</v>
      </c>
      <c r="H112" s="215" t="s">
        <v>34</v>
      </c>
      <c r="I112" s="22" t="s">
        <v>126</v>
      </c>
    </row>
    <row r="113" spans="1:9" s="2" customFormat="1" ht="21.75" customHeight="1">
      <c r="A113" s="23" t="s">
        <v>75</v>
      </c>
      <c r="B113" s="59" t="s">
        <v>48</v>
      </c>
      <c r="C113" s="25">
        <f>C114+C130</f>
        <v>27699700485</v>
      </c>
      <c r="D113" s="25">
        <f t="shared" ref="D113:E113" si="64">D114+D130</f>
        <v>27557456155</v>
      </c>
      <c r="E113" s="25">
        <f t="shared" si="64"/>
        <v>142244330</v>
      </c>
      <c r="F113" s="25">
        <f t="shared" ref="F113:G113" si="65">F114+F130</f>
        <v>17744859375</v>
      </c>
      <c r="G113" s="25">
        <f t="shared" si="65"/>
        <v>9954841110</v>
      </c>
      <c r="H113" s="25"/>
      <c r="I113" s="59"/>
    </row>
    <row r="114" spans="1:9" s="2" customFormat="1" ht="31.5">
      <c r="A114" s="14" t="s">
        <v>28</v>
      </c>
      <c r="B114" s="15" t="s">
        <v>43</v>
      </c>
      <c r="C114" s="21">
        <f>C115+C117+C120+C123+C124+C126</f>
        <v>27031568555</v>
      </c>
      <c r="D114" s="21">
        <f t="shared" ref="D114:E114" si="66">D115+D117+D120+D123+D124+D126</f>
        <v>26889324225</v>
      </c>
      <c r="E114" s="21">
        <f t="shared" si="66"/>
        <v>142244330</v>
      </c>
      <c r="F114" s="21">
        <f t="shared" ref="F114:G114" si="67">F115+F117+F120+F123+F124+F126</f>
        <v>17744859375</v>
      </c>
      <c r="G114" s="21">
        <f t="shared" si="67"/>
        <v>9286709180</v>
      </c>
      <c r="H114" s="16"/>
      <c r="I114" s="15"/>
    </row>
    <row r="115" spans="1:9" s="2" customFormat="1" ht="31.5">
      <c r="A115" s="8">
        <v>1</v>
      </c>
      <c r="B115" s="9" t="s">
        <v>129</v>
      </c>
      <c r="C115" s="20">
        <f>C116</f>
        <v>50000</v>
      </c>
      <c r="D115" s="20">
        <f t="shared" ref="D115:G115" si="68">D116</f>
        <v>50000</v>
      </c>
      <c r="E115" s="20">
        <f t="shared" si="68"/>
        <v>0</v>
      </c>
      <c r="F115" s="20">
        <f t="shared" si="68"/>
        <v>0</v>
      </c>
      <c r="G115" s="20">
        <f t="shared" si="68"/>
        <v>50000</v>
      </c>
      <c r="H115" s="10"/>
      <c r="I115" s="9"/>
    </row>
    <row r="116" spans="1:9">
      <c r="A116" s="5" t="s">
        <v>32</v>
      </c>
      <c r="B116" s="6" t="s">
        <v>130</v>
      </c>
      <c r="C116" s="18">
        <f>SUM(D116:E116)</f>
        <v>50000</v>
      </c>
      <c r="D116" s="18">
        <v>50000</v>
      </c>
      <c r="E116" s="18"/>
      <c r="F116" s="18">
        <v>0</v>
      </c>
      <c r="G116" s="18">
        <f>C116-F116</f>
        <v>50000</v>
      </c>
      <c r="H116" s="22" t="s">
        <v>131</v>
      </c>
      <c r="I116" s="22" t="s">
        <v>132</v>
      </c>
    </row>
    <row r="117" spans="1:9" s="2" customFormat="1" ht="63">
      <c r="A117" s="8">
        <v>2</v>
      </c>
      <c r="B117" s="9" t="s">
        <v>51</v>
      </c>
      <c r="C117" s="20">
        <f>SUM(C118:C119)</f>
        <v>20965211439</v>
      </c>
      <c r="D117" s="20">
        <f t="shared" ref="D117:G117" si="69">SUM(D118:D119)</f>
        <v>20963565439</v>
      </c>
      <c r="E117" s="20">
        <f t="shared" si="69"/>
        <v>1646000</v>
      </c>
      <c r="F117" s="20">
        <f t="shared" si="69"/>
        <v>17307116953</v>
      </c>
      <c r="G117" s="20">
        <f t="shared" si="69"/>
        <v>3658094486</v>
      </c>
      <c r="H117" s="22"/>
      <c r="I117" s="22"/>
    </row>
    <row r="118" spans="1:9" ht="47.25">
      <c r="A118" s="5" t="s">
        <v>32</v>
      </c>
      <c r="B118" s="6" t="s">
        <v>70</v>
      </c>
      <c r="C118" s="18">
        <f>SUM(D118:E118)</f>
        <v>20963565439</v>
      </c>
      <c r="D118" s="18">
        <v>20963565439</v>
      </c>
      <c r="E118" s="18"/>
      <c r="F118" s="18">
        <f>'B1 PAĐC DTTS'!F73</f>
        <v>17305470953</v>
      </c>
      <c r="G118" s="18">
        <f t="shared" ref="G118:G135" si="70">C118-F118</f>
        <v>3658094486</v>
      </c>
      <c r="H118" s="22" t="s">
        <v>34</v>
      </c>
      <c r="I118" s="22" t="s">
        <v>133</v>
      </c>
    </row>
    <row r="119" spans="1:9" ht="31.5">
      <c r="A119" s="5" t="s">
        <v>32</v>
      </c>
      <c r="B119" s="6" t="s">
        <v>134</v>
      </c>
      <c r="C119" s="18">
        <f>SUM(D119:E119)</f>
        <v>1646000</v>
      </c>
      <c r="D119" s="18"/>
      <c r="E119" s="18">
        <v>1646000</v>
      </c>
      <c r="F119" s="18">
        <f>'B1 PAĐC DTTS'!F74</f>
        <v>1646000</v>
      </c>
      <c r="G119" s="18">
        <f t="shared" si="70"/>
        <v>0</v>
      </c>
      <c r="H119" s="22" t="s">
        <v>34</v>
      </c>
      <c r="I119" s="22" t="s">
        <v>132</v>
      </c>
    </row>
    <row r="120" spans="1:9" s="2" customFormat="1" ht="31.5">
      <c r="A120" s="8">
        <v>3</v>
      </c>
      <c r="B120" s="9" t="s">
        <v>136</v>
      </c>
      <c r="C120" s="20">
        <f>SUM(C121:C122)</f>
        <v>3837701320</v>
      </c>
      <c r="D120" s="20">
        <f t="shared" ref="D120:G120" si="71">SUM(D121:D122)</f>
        <v>3837701320</v>
      </c>
      <c r="E120" s="20">
        <f t="shared" si="71"/>
        <v>0</v>
      </c>
      <c r="F120" s="20">
        <f t="shared" si="71"/>
        <v>0</v>
      </c>
      <c r="G120" s="20">
        <f t="shared" si="71"/>
        <v>3837701320</v>
      </c>
      <c r="H120" s="22"/>
      <c r="I120" s="22"/>
    </row>
    <row r="121" spans="1:9" ht="63">
      <c r="A121" s="5" t="s">
        <v>32</v>
      </c>
      <c r="B121" s="6" t="s">
        <v>137</v>
      </c>
      <c r="C121" s="18">
        <f>SUM(D121:E121)</f>
        <v>1572821000</v>
      </c>
      <c r="D121" s="18">
        <v>1572821000</v>
      </c>
      <c r="E121" s="18"/>
      <c r="F121" s="18">
        <v>0</v>
      </c>
      <c r="G121" s="18">
        <f t="shared" si="70"/>
        <v>1572821000</v>
      </c>
      <c r="H121" s="22" t="s">
        <v>138</v>
      </c>
      <c r="I121" s="22" t="s">
        <v>139</v>
      </c>
    </row>
    <row r="122" spans="1:9" ht="47.25">
      <c r="A122" s="5" t="s">
        <v>32</v>
      </c>
      <c r="B122" s="6" t="s">
        <v>140</v>
      </c>
      <c r="C122" s="18">
        <f>SUM(D122:E122)</f>
        <v>2264880320</v>
      </c>
      <c r="D122" s="18">
        <v>2264880320</v>
      </c>
      <c r="E122" s="18"/>
      <c r="F122" s="18">
        <v>0</v>
      </c>
      <c r="G122" s="18">
        <f t="shared" si="70"/>
        <v>2264880320</v>
      </c>
      <c r="H122" s="22" t="s">
        <v>138</v>
      </c>
      <c r="I122" s="22" t="s">
        <v>147</v>
      </c>
    </row>
    <row r="123" spans="1:9" s="2" customFormat="1" ht="72" customHeight="1">
      <c r="A123" s="8">
        <v>4</v>
      </c>
      <c r="B123" s="9" t="s">
        <v>47</v>
      </c>
      <c r="C123" s="20">
        <f>SUM(D123:E123)</f>
        <v>1488321496</v>
      </c>
      <c r="D123" s="20">
        <v>1379321496</v>
      </c>
      <c r="E123" s="20">
        <v>109000000</v>
      </c>
      <c r="F123" s="20">
        <f>'B1 PAĐC DTTS'!F75</f>
        <v>432742422</v>
      </c>
      <c r="G123" s="20">
        <f t="shared" si="70"/>
        <v>1055579074</v>
      </c>
      <c r="H123" s="22" t="s">
        <v>50</v>
      </c>
      <c r="I123" s="22" t="s">
        <v>123</v>
      </c>
    </row>
    <row r="124" spans="1:9" s="2" customFormat="1" ht="47.25">
      <c r="A124" s="8">
        <v>5</v>
      </c>
      <c r="B124" s="9" t="s">
        <v>53</v>
      </c>
      <c r="C124" s="20">
        <f>C125</f>
        <v>153896710</v>
      </c>
      <c r="D124" s="20">
        <f t="shared" ref="D124:G124" si="72">D125</f>
        <v>153796710</v>
      </c>
      <c r="E124" s="20">
        <f t="shared" si="72"/>
        <v>100000</v>
      </c>
      <c r="F124" s="20">
        <f t="shared" si="72"/>
        <v>0</v>
      </c>
      <c r="G124" s="20">
        <f t="shared" si="72"/>
        <v>153896710</v>
      </c>
      <c r="H124" s="22"/>
      <c r="I124" s="22"/>
    </row>
    <row r="125" spans="1:9" ht="47.25">
      <c r="A125" s="5" t="s">
        <v>32</v>
      </c>
      <c r="B125" s="6" t="s">
        <v>142</v>
      </c>
      <c r="C125" s="18">
        <f>SUM(D125:E125)</f>
        <v>153896710</v>
      </c>
      <c r="D125" s="18">
        <v>153796710</v>
      </c>
      <c r="E125" s="18">
        <v>100000</v>
      </c>
      <c r="F125" s="18">
        <v>0</v>
      </c>
      <c r="G125" s="18">
        <f t="shared" si="70"/>
        <v>153896710</v>
      </c>
      <c r="H125" s="22" t="s">
        <v>50</v>
      </c>
      <c r="I125" s="22" t="s">
        <v>141</v>
      </c>
    </row>
    <row r="126" spans="1:9" s="2" customFormat="1" ht="63">
      <c r="A126" s="8">
        <v>6</v>
      </c>
      <c r="B126" s="9" t="s">
        <v>72</v>
      </c>
      <c r="C126" s="20">
        <f>SUM(C127:C129)</f>
        <v>586387590</v>
      </c>
      <c r="D126" s="20">
        <f t="shared" ref="D126:G126" si="73">SUM(D127:D129)</f>
        <v>554889260</v>
      </c>
      <c r="E126" s="20">
        <f t="shared" si="73"/>
        <v>31498330</v>
      </c>
      <c r="F126" s="20">
        <f t="shared" si="73"/>
        <v>5000000</v>
      </c>
      <c r="G126" s="20">
        <f t="shared" si="73"/>
        <v>581387590</v>
      </c>
      <c r="H126" s="22" t="s">
        <v>41</v>
      </c>
      <c r="I126" s="22"/>
    </row>
    <row r="127" spans="1:9" ht="126">
      <c r="A127" s="5" t="s">
        <v>32</v>
      </c>
      <c r="B127" s="6" t="s">
        <v>143</v>
      </c>
      <c r="C127" s="18">
        <f>SUM(D127:E127)</f>
        <v>246227590</v>
      </c>
      <c r="D127" s="18">
        <v>229341260</v>
      </c>
      <c r="E127" s="18">
        <v>16886330</v>
      </c>
      <c r="F127" s="18">
        <v>0</v>
      </c>
      <c r="G127" s="18">
        <f t="shared" si="70"/>
        <v>246227590</v>
      </c>
      <c r="H127" s="22" t="s">
        <v>41</v>
      </c>
      <c r="I127" s="22" t="s">
        <v>144</v>
      </c>
    </row>
    <row r="128" spans="1:9" ht="63">
      <c r="A128" s="5" t="s">
        <v>32</v>
      </c>
      <c r="B128" s="6" t="s">
        <v>104</v>
      </c>
      <c r="C128" s="18">
        <f t="shared" ref="C128:C129" si="74">SUM(D128:E128)</f>
        <v>129000000</v>
      </c>
      <c r="D128" s="18">
        <v>129000000</v>
      </c>
      <c r="E128" s="18">
        <v>0</v>
      </c>
      <c r="F128" s="18">
        <v>0</v>
      </c>
      <c r="G128" s="18">
        <f t="shared" si="70"/>
        <v>129000000</v>
      </c>
      <c r="H128" s="22" t="s">
        <v>41</v>
      </c>
      <c r="I128" s="22" t="s">
        <v>145</v>
      </c>
    </row>
    <row r="129" spans="1:9" ht="31.5">
      <c r="A129" s="5" t="s">
        <v>32</v>
      </c>
      <c r="B129" s="6" t="s">
        <v>46</v>
      </c>
      <c r="C129" s="18">
        <f t="shared" si="74"/>
        <v>211160000</v>
      </c>
      <c r="D129" s="18">
        <v>196548000</v>
      </c>
      <c r="E129" s="18">
        <v>14612000</v>
      </c>
      <c r="F129" s="18">
        <f>'B1 PAĐC DTTS'!F77</f>
        <v>5000000</v>
      </c>
      <c r="G129" s="18">
        <f t="shared" si="70"/>
        <v>206160000</v>
      </c>
      <c r="H129" s="22" t="s">
        <v>34</v>
      </c>
      <c r="I129" s="22" t="s">
        <v>146</v>
      </c>
    </row>
    <row r="130" spans="1:9" s="2" customFormat="1">
      <c r="A130" s="14" t="s">
        <v>29</v>
      </c>
      <c r="B130" s="15" t="s">
        <v>21</v>
      </c>
      <c r="C130" s="21">
        <f>C131+C133+C134</f>
        <v>668131930</v>
      </c>
      <c r="D130" s="21">
        <f t="shared" ref="D130:E130" si="75">D131+D133+D134</f>
        <v>668131930</v>
      </c>
      <c r="E130" s="21">
        <f t="shared" si="75"/>
        <v>0</v>
      </c>
      <c r="F130" s="21">
        <f t="shared" ref="F130:G130" si="76">F131+F133+F134</f>
        <v>0</v>
      </c>
      <c r="G130" s="21">
        <f t="shared" si="76"/>
        <v>668131930</v>
      </c>
      <c r="H130" s="85"/>
      <c r="I130" s="85"/>
    </row>
    <row r="131" spans="1:9" s="2" customFormat="1" ht="31.5">
      <c r="A131" s="8">
        <v>1</v>
      </c>
      <c r="B131" s="9" t="s">
        <v>136</v>
      </c>
      <c r="C131" s="20">
        <f>C132</f>
        <v>552388830</v>
      </c>
      <c r="D131" s="20">
        <f t="shared" ref="D131:G131" si="77">D132</f>
        <v>552388830</v>
      </c>
      <c r="E131" s="20">
        <f t="shared" si="77"/>
        <v>0</v>
      </c>
      <c r="F131" s="20">
        <f t="shared" si="77"/>
        <v>0</v>
      </c>
      <c r="G131" s="20">
        <f t="shared" si="77"/>
        <v>552388830</v>
      </c>
      <c r="H131" s="22"/>
      <c r="I131" s="22"/>
    </row>
    <row r="132" spans="1:9" ht="63">
      <c r="A132" s="5" t="s">
        <v>32</v>
      </c>
      <c r="B132" s="6" t="s">
        <v>137</v>
      </c>
      <c r="C132" s="18">
        <f>SUM(D132:E132)</f>
        <v>552388830</v>
      </c>
      <c r="D132" s="18">
        <v>552388830</v>
      </c>
      <c r="E132" s="18"/>
      <c r="F132" s="18">
        <v>0</v>
      </c>
      <c r="G132" s="18">
        <f t="shared" si="70"/>
        <v>552388830</v>
      </c>
      <c r="H132" s="22" t="s">
        <v>138</v>
      </c>
      <c r="I132" s="22" t="s">
        <v>148</v>
      </c>
    </row>
    <row r="133" spans="1:9" s="2" customFormat="1" ht="47.25">
      <c r="A133" s="8">
        <v>2</v>
      </c>
      <c r="B133" s="9" t="s">
        <v>47</v>
      </c>
      <c r="C133" s="20">
        <f>SUM(D133:E133)</f>
        <v>92743100</v>
      </c>
      <c r="D133" s="20">
        <v>92743100</v>
      </c>
      <c r="E133" s="20"/>
      <c r="F133" s="20">
        <v>0</v>
      </c>
      <c r="G133" s="20">
        <f t="shared" si="70"/>
        <v>92743100</v>
      </c>
      <c r="H133" s="22" t="s">
        <v>50</v>
      </c>
      <c r="I133" s="22" t="s">
        <v>149</v>
      </c>
    </row>
    <row r="134" spans="1:9" s="2" customFormat="1" ht="63">
      <c r="A134" s="8">
        <v>3</v>
      </c>
      <c r="B134" s="9" t="s">
        <v>72</v>
      </c>
      <c r="C134" s="20">
        <f>C135</f>
        <v>23000000</v>
      </c>
      <c r="D134" s="20">
        <f t="shared" ref="D134:G134" si="78">D135</f>
        <v>23000000</v>
      </c>
      <c r="E134" s="20">
        <f t="shared" si="78"/>
        <v>0</v>
      </c>
      <c r="F134" s="20">
        <f t="shared" si="78"/>
        <v>0</v>
      </c>
      <c r="G134" s="20">
        <f t="shared" si="78"/>
        <v>23000000</v>
      </c>
      <c r="H134" s="22"/>
      <c r="I134" s="22"/>
    </row>
    <row r="135" spans="1:9" ht="63">
      <c r="A135" s="5" t="s">
        <v>32</v>
      </c>
      <c r="B135" s="6" t="s">
        <v>104</v>
      </c>
      <c r="C135" s="18">
        <f>SUM(D135:E135)</f>
        <v>23000000</v>
      </c>
      <c r="D135" s="18">
        <v>23000000</v>
      </c>
      <c r="E135" s="18"/>
      <c r="F135" s="18">
        <v>0</v>
      </c>
      <c r="G135" s="18">
        <f t="shared" si="70"/>
        <v>23000000</v>
      </c>
      <c r="H135" s="22" t="s">
        <v>41</v>
      </c>
      <c r="I135" s="22" t="s">
        <v>149</v>
      </c>
    </row>
    <row r="136" spans="1:9" s="220" customFormat="1" ht="25.5" customHeight="1">
      <c r="A136" s="166" t="s">
        <v>345</v>
      </c>
      <c r="B136" s="59" t="s">
        <v>346</v>
      </c>
      <c r="C136" s="226">
        <f>C137+C153</f>
        <v>28936399996</v>
      </c>
      <c r="D136" s="226">
        <f>D137+D153</f>
        <v>28857999996</v>
      </c>
      <c r="E136" s="226">
        <f>E137+E153</f>
        <v>78400000</v>
      </c>
      <c r="F136" s="226">
        <f t="shared" ref="F136:G136" si="79">F137+F153</f>
        <v>28936399996</v>
      </c>
      <c r="G136" s="226">
        <f t="shared" si="79"/>
        <v>0</v>
      </c>
      <c r="H136" s="59"/>
      <c r="I136" s="59"/>
    </row>
    <row r="137" spans="1:9" s="220" customFormat="1" ht="31.5">
      <c r="A137" s="168" t="s">
        <v>28</v>
      </c>
      <c r="B137" s="15" t="s">
        <v>43</v>
      </c>
      <c r="C137" s="227">
        <f>C138+C141+C143+C146+C149+C151</f>
        <v>25047198333</v>
      </c>
      <c r="D137" s="227">
        <f>D138+D141+D143+D146+D149+D151</f>
        <v>24986698333</v>
      </c>
      <c r="E137" s="227">
        <f>E138+E141+E143+E146+E149+E151</f>
        <v>60500000</v>
      </c>
      <c r="F137" s="227">
        <f t="shared" ref="F137:G137" si="80">F138+F141+F143+F146+F149+F151</f>
        <v>25047198333</v>
      </c>
      <c r="G137" s="227">
        <f t="shared" si="80"/>
        <v>0</v>
      </c>
      <c r="H137" s="15"/>
      <c r="I137" s="15"/>
    </row>
    <row r="138" spans="1:9" s="220" customFormat="1" ht="31.5">
      <c r="A138" s="164">
        <v>1</v>
      </c>
      <c r="B138" s="228" t="s">
        <v>58</v>
      </c>
      <c r="C138" s="229">
        <f>SUM(C139:C140)</f>
        <v>1550123855</v>
      </c>
      <c r="D138" s="229">
        <f t="shared" ref="D138:E138" si="81">SUM(D139:D140)</f>
        <v>1519623855</v>
      </c>
      <c r="E138" s="229">
        <f t="shared" si="81"/>
        <v>30500000</v>
      </c>
      <c r="F138" s="229">
        <f t="shared" ref="F138" si="82">SUM(F139:F140)</f>
        <v>1550123855</v>
      </c>
      <c r="G138" s="229">
        <f t="shared" ref="G138" si="83">SUM(G139:G140)</f>
        <v>0</v>
      </c>
      <c r="H138" s="9"/>
      <c r="I138" s="9"/>
    </row>
    <row r="139" spans="1:9" s="225" customFormat="1" ht="31.5">
      <c r="A139" s="84" t="s">
        <v>213</v>
      </c>
      <c r="B139" s="22" t="s">
        <v>353</v>
      </c>
      <c r="C139" s="230">
        <f>SUM(D139:E139)</f>
        <v>1128200000</v>
      </c>
      <c r="D139" s="230">
        <v>1128200000</v>
      </c>
      <c r="E139" s="230"/>
      <c r="F139" s="230">
        <v>1128200000</v>
      </c>
      <c r="G139" s="230">
        <f>C139-F139</f>
        <v>0</v>
      </c>
      <c r="H139" s="22"/>
      <c r="I139" s="22" t="s">
        <v>354</v>
      </c>
    </row>
    <row r="140" spans="1:9" s="225" customFormat="1" ht="31.5">
      <c r="A140" s="84" t="s">
        <v>213</v>
      </c>
      <c r="B140" s="22" t="s">
        <v>355</v>
      </c>
      <c r="C140" s="230">
        <f>SUM(D140:E140)</f>
        <v>421923855</v>
      </c>
      <c r="D140" s="230">
        <v>391423855</v>
      </c>
      <c r="E140" s="230">
        <v>30500000</v>
      </c>
      <c r="F140" s="230">
        <v>421923855</v>
      </c>
      <c r="G140" s="230">
        <f t="shared" ref="G140:G163" si="84">C140-F140</f>
        <v>0</v>
      </c>
      <c r="H140" s="22"/>
      <c r="I140" s="22" t="s">
        <v>356</v>
      </c>
    </row>
    <row r="141" spans="1:9" s="220" customFormat="1" ht="63">
      <c r="A141" s="164">
        <v>2</v>
      </c>
      <c r="B141" s="228" t="s">
        <v>51</v>
      </c>
      <c r="C141" s="229">
        <f>C142</f>
        <v>16496741834</v>
      </c>
      <c r="D141" s="229">
        <f t="shared" ref="D141:E141" si="85">D142</f>
        <v>16496741834</v>
      </c>
      <c r="E141" s="229">
        <f t="shared" si="85"/>
        <v>0</v>
      </c>
      <c r="F141" s="229">
        <f t="shared" ref="F141" si="86">F142</f>
        <v>16496741834</v>
      </c>
      <c r="G141" s="229">
        <f t="shared" ref="G141" si="87">G142</f>
        <v>0</v>
      </c>
      <c r="H141" s="9"/>
      <c r="I141" s="9"/>
    </row>
    <row r="142" spans="1:9" customFormat="1" ht="63">
      <c r="A142" s="84"/>
      <c r="B142" s="45" t="s">
        <v>326</v>
      </c>
      <c r="C142" s="230">
        <f>SUM(D142:E142)</f>
        <v>16496741834</v>
      </c>
      <c r="D142" s="230">
        <v>16496741834</v>
      </c>
      <c r="E142" s="230"/>
      <c r="F142" s="230">
        <v>16496741834</v>
      </c>
      <c r="G142" s="230">
        <f t="shared" si="84"/>
        <v>0</v>
      </c>
      <c r="H142" s="22" t="s">
        <v>34</v>
      </c>
      <c r="I142" s="22" t="s">
        <v>348</v>
      </c>
    </row>
    <row r="143" spans="1:9" s="220" customFormat="1" ht="31.5">
      <c r="A143" s="164">
        <v>3</v>
      </c>
      <c r="B143" s="228" t="s">
        <v>35</v>
      </c>
      <c r="C143" s="229">
        <f>SUM(C144:C145)</f>
        <v>5359833341</v>
      </c>
      <c r="D143" s="229">
        <f t="shared" ref="D143:E143" si="88">SUM(D144:D145)</f>
        <v>5359833341</v>
      </c>
      <c r="E143" s="229">
        <f t="shared" si="88"/>
        <v>0</v>
      </c>
      <c r="F143" s="229">
        <f t="shared" ref="F143" si="89">SUM(F144:F145)</f>
        <v>5359833341</v>
      </c>
      <c r="G143" s="229">
        <f t="shared" ref="G143" si="90">SUM(G144:G145)</f>
        <v>0</v>
      </c>
      <c r="H143" s="9"/>
      <c r="I143" s="9"/>
    </row>
    <row r="144" spans="1:9" customFormat="1" ht="47.25">
      <c r="A144" s="84"/>
      <c r="B144" s="45" t="s">
        <v>330</v>
      </c>
      <c r="C144" s="230">
        <f>SUM(D144:E144)</f>
        <v>3128887141</v>
      </c>
      <c r="D144" s="230">
        <v>3128887141</v>
      </c>
      <c r="E144" s="230"/>
      <c r="F144" s="230">
        <v>3128887141</v>
      </c>
      <c r="G144" s="230">
        <f t="shared" si="84"/>
        <v>0</v>
      </c>
      <c r="H144" s="22" t="s">
        <v>138</v>
      </c>
      <c r="I144" s="22" t="s">
        <v>349</v>
      </c>
    </row>
    <row r="145" spans="1:9" customFormat="1" ht="47.25">
      <c r="A145" s="84"/>
      <c r="B145" s="45" t="s">
        <v>331</v>
      </c>
      <c r="C145" s="230">
        <f>SUM(D145:E145)</f>
        <v>2230946200</v>
      </c>
      <c r="D145" s="230">
        <v>2230946200</v>
      </c>
      <c r="E145" s="230"/>
      <c r="F145" s="230">
        <v>2230946200</v>
      </c>
      <c r="G145" s="230">
        <f t="shared" si="84"/>
        <v>0</v>
      </c>
      <c r="H145" s="22" t="s">
        <v>138</v>
      </c>
      <c r="I145" s="22" t="s">
        <v>350</v>
      </c>
    </row>
    <row r="146" spans="1:9" s="220" customFormat="1" ht="47.25">
      <c r="A146" s="164">
        <v>4</v>
      </c>
      <c r="B146" s="228" t="s">
        <v>100</v>
      </c>
      <c r="C146" s="229">
        <f>SUM(C147:C148)</f>
        <v>1375720250</v>
      </c>
      <c r="D146" s="229">
        <f t="shared" ref="D146:E146" si="91">SUM(D147:D148)</f>
        <v>1345720250</v>
      </c>
      <c r="E146" s="229">
        <f t="shared" si="91"/>
        <v>30000000</v>
      </c>
      <c r="F146" s="229">
        <f t="shared" ref="F146" si="92">SUM(F147:F148)</f>
        <v>1375720250</v>
      </c>
      <c r="G146" s="229">
        <f t="shared" ref="G146" si="93">SUM(G147:G148)</f>
        <v>0</v>
      </c>
      <c r="H146" s="22"/>
      <c r="I146" s="22" t="s">
        <v>87</v>
      </c>
    </row>
    <row r="147" spans="1:9" s="225" customFormat="1">
      <c r="A147" s="84" t="s">
        <v>213</v>
      </c>
      <c r="B147" s="45" t="s">
        <v>347</v>
      </c>
      <c r="C147" s="230">
        <f>SUM(D147:E147)</f>
        <v>741720250</v>
      </c>
      <c r="D147" s="230">
        <v>741720250</v>
      </c>
      <c r="E147" s="230"/>
      <c r="F147" s="230">
        <v>741720250</v>
      </c>
      <c r="G147" s="230">
        <f t="shared" si="84"/>
        <v>0</v>
      </c>
      <c r="H147" s="22"/>
      <c r="I147" s="22"/>
    </row>
    <row r="148" spans="1:9" s="225" customFormat="1">
      <c r="A148" s="84" t="s">
        <v>213</v>
      </c>
      <c r="B148" s="45" t="s">
        <v>34</v>
      </c>
      <c r="C148" s="230">
        <f>SUM(D148:E148)</f>
        <v>634000000</v>
      </c>
      <c r="D148" s="230">
        <v>604000000</v>
      </c>
      <c r="E148" s="230">
        <v>30000000</v>
      </c>
      <c r="F148" s="230">
        <v>634000000</v>
      </c>
      <c r="G148" s="230">
        <f t="shared" si="84"/>
        <v>0</v>
      </c>
      <c r="H148" s="22"/>
      <c r="I148" s="22"/>
    </row>
    <row r="149" spans="1:9" s="220" customFormat="1" ht="47.25">
      <c r="A149" s="164">
        <v>5</v>
      </c>
      <c r="B149" s="228" t="s">
        <v>53</v>
      </c>
      <c r="C149" s="229">
        <f>C150</f>
        <v>120779053</v>
      </c>
      <c r="D149" s="229">
        <f t="shared" ref="D149:E149" si="94">D150</f>
        <v>120779053</v>
      </c>
      <c r="E149" s="229">
        <f t="shared" si="94"/>
        <v>0</v>
      </c>
      <c r="F149" s="229">
        <f t="shared" ref="F149" si="95">F150</f>
        <v>120779053</v>
      </c>
      <c r="G149" s="229">
        <f t="shared" ref="G149" si="96">G150</f>
        <v>0</v>
      </c>
      <c r="H149" s="9"/>
      <c r="I149" s="9"/>
    </row>
    <row r="150" spans="1:9" customFormat="1" ht="47.25">
      <c r="A150" s="84"/>
      <c r="B150" s="45" t="s">
        <v>332</v>
      </c>
      <c r="C150" s="230">
        <f>SUM(D150:E150)</f>
        <v>120779053</v>
      </c>
      <c r="D150" s="230">
        <v>120779053</v>
      </c>
      <c r="E150" s="230"/>
      <c r="F150" s="230">
        <v>120779053</v>
      </c>
      <c r="G150" s="230">
        <f t="shared" si="84"/>
        <v>0</v>
      </c>
      <c r="H150" s="22" t="s">
        <v>42</v>
      </c>
      <c r="I150" s="22" t="s">
        <v>351</v>
      </c>
    </row>
    <row r="151" spans="1:9" s="220" customFormat="1" ht="63">
      <c r="A151" s="164">
        <v>6</v>
      </c>
      <c r="B151" s="228" t="s">
        <v>72</v>
      </c>
      <c r="C151" s="229">
        <f>C152</f>
        <v>144000000</v>
      </c>
      <c r="D151" s="229">
        <f t="shared" ref="D151:E151" si="97">D152</f>
        <v>144000000</v>
      </c>
      <c r="E151" s="229">
        <f t="shared" si="97"/>
        <v>0</v>
      </c>
      <c r="F151" s="229">
        <f t="shared" ref="F151" si="98">F152</f>
        <v>144000000</v>
      </c>
      <c r="G151" s="229">
        <f t="shared" ref="G151" si="99">G152</f>
        <v>0</v>
      </c>
      <c r="H151" s="9"/>
      <c r="I151" s="9"/>
    </row>
    <row r="152" spans="1:9" customFormat="1" ht="63">
      <c r="A152" s="84"/>
      <c r="B152" s="45" t="s">
        <v>334</v>
      </c>
      <c r="C152" s="230">
        <f>SUM(D152:E152)</f>
        <v>144000000</v>
      </c>
      <c r="D152" s="230">
        <v>144000000</v>
      </c>
      <c r="E152" s="230"/>
      <c r="F152" s="230">
        <v>144000000</v>
      </c>
      <c r="G152" s="230">
        <f t="shared" si="84"/>
        <v>0</v>
      </c>
      <c r="H152" s="22" t="s">
        <v>41</v>
      </c>
      <c r="I152" s="22" t="s">
        <v>352</v>
      </c>
    </row>
    <row r="153" spans="1:9" s="221" customFormat="1" ht="22.5" customHeight="1">
      <c r="A153" s="168" t="s">
        <v>29</v>
      </c>
      <c r="B153" s="15" t="s">
        <v>21</v>
      </c>
      <c r="C153" s="227">
        <f>C154+C157+C159+C161</f>
        <v>3889201663</v>
      </c>
      <c r="D153" s="227">
        <f t="shared" ref="D153:E153" si="100">D154+D157+D159+D161</f>
        <v>3871301663</v>
      </c>
      <c r="E153" s="227">
        <f t="shared" si="100"/>
        <v>17900000</v>
      </c>
      <c r="F153" s="227">
        <f t="shared" ref="F153" si="101">F154+F157+F159+F161</f>
        <v>3889201663</v>
      </c>
      <c r="G153" s="227">
        <f t="shared" ref="G153" si="102">G154+G157+G159+G161</f>
        <v>0</v>
      </c>
      <c r="H153" s="15"/>
      <c r="I153" s="15"/>
    </row>
    <row r="154" spans="1:9" s="221" customFormat="1" ht="31.5">
      <c r="A154" s="164">
        <v>1</v>
      </c>
      <c r="B154" s="9" t="s">
        <v>58</v>
      </c>
      <c r="C154" s="229">
        <f>SUM(C155:C156)</f>
        <v>150000000</v>
      </c>
      <c r="D154" s="229">
        <f t="shared" ref="D154:E154" si="103">SUM(D155:D156)</f>
        <v>137100000</v>
      </c>
      <c r="E154" s="229">
        <f t="shared" si="103"/>
        <v>12900000</v>
      </c>
      <c r="F154" s="229">
        <f t="shared" ref="F154" si="104">SUM(F155:F156)</f>
        <v>150000000</v>
      </c>
      <c r="G154" s="229">
        <f t="shared" ref="G154" si="105">SUM(G155:G156)</f>
        <v>0</v>
      </c>
      <c r="H154" s="9"/>
      <c r="I154" s="9"/>
    </row>
    <row r="155" spans="1:9" s="100" customFormat="1" ht="31.5">
      <c r="A155" s="84"/>
      <c r="B155" s="22" t="s">
        <v>353</v>
      </c>
      <c r="C155" s="230">
        <f>SUM(D155:E155)</f>
        <v>90000000</v>
      </c>
      <c r="D155" s="230">
        <v>85600000</v>
      </c>
      <c r="E155" s="230">
        <v>4400000</v>
      </c>
      <c r="F155" s="230">
        <v>90000000</v>
      </c>
      <c r="G155" s="230">
        <f t="shared" si="84"/>
        <v>0</v>
      </c>
      <c r="H155" s="22" t="s">
        <v>34</v>
      </c>
      <c r="I155" s="22" t="s">
        <v>354</v>
      </c>
    </row>
    <row r="156" spans="1:9" s="100" customFormat="1" ht="31.5">
      <c r="A156" s="84"/>
      <c r="B156" s="22" t="s">
        <v>355</v>
      </c>
      <c r="C156" s="230">
        <f>SUM(D156:E156)</f>
        <v>60000000</v>
      </c>
      <c r="D156" s="230">
        <v>51500000</v>
      </c>
      <c r="E156" s="230">
        <v>8500000</v>
      </c>
      <c r="F156" s="230">
        <v>60000000</v>
      </c>
      <c r="G156" s="230">
        <f t="shared" si="84"/>
        <v>0</v>
      </c>
      <c r="H156" s="22" t="s">
        <v>34</v>
      </c>
      <c r="I156" s="22" t="s">
        <v>356</v>
      </c>
    </row>
    <row r="157" spans="1:9" s="221" customFormat="1" ht="63">
      <c r="A157" s="164">
        <v>2</v>
      </c>
      <c r="B157" s="231" t="s">
        <v>51</v>
      </c>
      <c r="C157" s="229">
        <f>C158</f>
        <v>3569001663</v>
      </c>
      <c r="D157" s="229">
        <f t="shared" ref="D157:E157" si="106">D158</f>
        <v>3569001663</v>
      </c>
      <c r="E157" s="229">
        <f t="shared" si="106"/>
        <v>0</v>
      </c>
      <c r="F157" s="229">
        <f t="shared" ref="F157" si="107">F158</f>
        <v>3569001663</v>
      </c>
      <c r="G157" s="229">
        <f t="shared" ref="G157" si="108">G158</f>
        <v>0</v>
      </c>
      <c r="H157" s="229"/>
      <c r="I157" s="9"/>
    </row>
    <row r="158" spans="1:9" s="100" customFormat="1" ht="47.25">
      <c r="A158" s="84"/>
      <c r="B158" s="69" t="s">
        <v>357</v>
      </c>
      <c r="C158" s="230">
        <f>SUM(D158:E158)</f>
        <v>3569001663</v>
      </c>
      <c r="D158" s="230">
        <v>3569001663</v>
      </c>
      <c r="E158" s="230"/>
      <c r="F158" s="230">
        <v>3569001663</v>
      </c>
      <c r="G158" s="230">
        <f t="shared" si="84"/>
        <v>0</v>
      </c>
      <c r="H158" s="22" t="s">
        <v>34</v>
      </c>
      <c r="I158" s="22" t="s">
        <v>358</v>
      </c>
    </row>
    <row r="159" spans="1:9" s="221" customFormat="1" ht="31.5">
      <c r="A159" s="164">
        <v>3</v>
      </c>
      <c r="B159" s="165" t="s">
        <v>85</v>
      </c>
      <c r="C159" s="229">
        <f>C160</f>
        <v>200000</v>
      </c>
      <c r="D159" s="229">
        <f t="shared" ref="D159:E159" si="109">D160</f>
        <v>200000</v>
      </c>
      <c r="E159" s="229">
        <f t="shared" si="109"/>
        <v>0</v>
      </c>
      <c r="F159" s="229">
        <f t="shared" ref="F159" si="110">F160</f>
        <v>200000</v>
      </c>
      <c r="G159" s="229">
        <f t="shared" ref="G159" si="111">G160</f>
        <v>0</v>
      </c>
      <c r="H159" s="229"/>
      <c r="I159" s="9"/>
    </row>
    <row r="160" spans="1:9" s="100" customFormat="1" ht="47.25">
      <c r="A160" s="84"/>
      <c r="B160" s="232" t="s">
        <v>359</v>
      </c>
      <c r="C160" s="230">
        <f>SUM(D160:E160)</f>
        <v>200000</v>
      </c>
      <c r="D160" s="230">
        <v>200000</v>
      </c>
      <c r="E160" s="230"/>
      <c r="F160" s="230">
        <v>200000</v>
      </c>
      <c r="G160" s="230">
        <f t="shared" si="84"/>
        <v>0</v>
      </c>
      <c r="H160" s="22" t="s">
        <v>138</v>
      </c>
      <c r="I160" s="22" t="s">
        <v>362</v>
      </c>
    </row>
    <row r="161" spans="1:9" s="221" customFormat="1" ht="63">
      <c r="A161" s="164">
        <v>4</v>
      </c>
      <c r="B161" s="165" t="s">
        <v>45</v>
      </c>
      <c r="C161" s="229">
        <f>SUM(C162:C163)</f>
        <v>170000000</v>
      </c>
      <c r="D161" s="229">
        <f t="shared" ref="D161:E161" si="112">SUM(D162:D163)</f>
        <v>165000000</v>
      </c>
      <c r="E161" s="229">
        <f t="shared" si="112"/>
        <v>5000000</v>
      </c>
      <c r="F161" s="229">
        <f t="shared" ref="F161" si="113">SUM(F162:F163)</f>
        <v>170000000</v>
      </c>
      <c r="G161" s="229">
        <f t="shared" ref="G161" si="114">SUM(G162:G163)</f>
        <v>0</v>
      </c>
      <c r="H161" s="9"/>
      <c r="I161" s="9"/>
    </row>
    <row r="162" spans="1:9" s="100" customFormat="1" ht="94.5">
      <c r="A162" s="84"/>
      <c r="B162" s="69" t="s">
        <v>360</v>
      </c>
      <c r="C162" s="230">
        <f>SUM(D162:E162)</f>
        <v>100000000</v>
      </c>
      <c r="D162" s="230">
        <v>95000000</v>
      </c>
      <c r="E162" s="230">
        <v>5000000</v>
      </c>
      <c r="F162" s="230">
        <v>100000000</v>
      </c>
      <c r="G162" s="230">
        <f t="shared" si="84"/>
        <v>0</v>
      </c>
      <c r="H162" s="22" t="s">
        <v>41</v>
      </c>
      <c r="I162" s="22" t="s">
        <v>361</v>
      </c>
    </row>
    <row r="163" spans="1:9" s="100" customFormat="1" ht="63">
      <c r="A163" s="84"/>
      <c r="B163" s="69" t="s">
        <v>104</v>
      </c>
      <c r="C163" s="230">
        <f>SUM(D163:E163)</f>
        <v>70000000</v>
      </c>
      <c r="D163" s="230">
        <v>70000000</v>
      </c>
      <c r="E163" s="230"/>
      <c r="F163" s="230">
        <v>70000000</v>
      </c>
      <c r="G163" s="230">
        <f t="shared" si="84"/>
        <v>0</v>
      </c>
      <c r="H163" s="22" t="s">
        <v>41</v>
      </c>
      <c r="I163" s="22" t="s">
        <v>363</v>
      </c>
    </row>
    <row r="164" spans="1:9" s="220" customFormat="1" ht="24" customHeight="1">
      <c r="A164" s="166" t="s">
        <v>818</v>
      </c>
      <c r="B164" s="59" t="s">
        <v>340</v>
      </c>
      <c r="C164" s="226">
        <f>C165+C176</f>
        <v>20826786228</v>
      </c>
      <c r="D164" s="226">
        <f t="shared" ref="D164:E164" si="115">D165+D176</f>
        <v>20639786228</v>
      </c>
      <c r="E164" s="226">
        <f t="shared" si="115"/>
        <v>187000000</v>
      </c>
      <c r="F164" s="226">
        <f t="shared" ref="F164" si="116">F165+F176</f>
        <v>17238921230</v>
      </c>
      <c r="G164" s="226">
        <f t="shared" ref="G164" si="117">G165+G176</f>
        <v>3587864998</v>
      </c>
      <c r="H164" s="59"/>
      <c r="I164" s="59"/>
    </row>
    <row r="165" spans="1:9" s="2" customFormat="1" ht="31.5">
      <c r="A165" s="14" t="s">
        <v>28</v>
      </c>
      <c r="B165" s="15" t="s">
        <v>821</v>
      </c>
      <c r="C165" s="21">
        <f>C166+C169+C171+C173+C174</f>
        <v>20343579028</v>
      </c>
      <c r="D165" s="21">
        <f t="shared" ref="D165:E165" si="118">D166+D169+D171+D173+D174</f>
        <v>20156579028</v>
      </c>
      <c r="E165" s="21">
        <f t="shared" si="118"/>
        <v>187000000</v>
      </c>
      <c r="F165" s="21">
        <f t="shared" ref="F165" si="119">F166+F169+F171+F173+F174</f>
        <v>16869187630</v>
      </c>
      <c r="G165" s="21">
        <f t="shared" ref="G165" si="120">G166+G169+G171+G173+G174</f>
        <v>3474391398</v>
      </c>
      <c r="H165" s="16"/>
      <c r="I165" s="16"/>
    </row>
    <row r="166" spans="1:9" s="2" customFormat="1" ht="31.5">
      <c r="A166" s="8">
        <v>1</v>
      </c>
      <c r="B166" s="9" t="s">
        <v>58</v>
      </c>
      <c r="C166" s="20">
        <f>SUM(C167:C168)</f>
        <v>1328000000</v>
      </c>
      <c r="D166" s="20">
        <f t="shared" ref="D166:E166" si="121">SUM(D167:D168)</f>
        <v>1254000000</v>
      </c>
      <c r="E166" s="20">
        <f t="shared" si="121"/>
        <v>74000000</v>
      </c>
      <c r="F166" s="20">
        <f t="shared" ref="F166" si="122">SUM(F167:F168)</f>
        <v>0</v>
      </c>
      <c r="G166" s="20">
        <f t="shared" ref="G166" si="123">SUM(G167:G168)</f>
        <v>1328000000</v>
      </c>
      <c r="H166" s="10"/>
      <c r="I166" s="10"/>
    </row>
    <row r="167" spans="1:9">
      <c r="A167" s="5"/>
      <c r="B167" s="6" t="s">
        <v>324</v>
      </c>
      <c r="C167" s="218">
        <f>SUM(D167:E167)</f>
        <v>1040000000</v>
      </c>
      <c r="D167" s="18">
        <v>987000000</v>
      </c>
      <c r="E167" s="18">
        <v>53000000</v>
      </c>
      <c r="F167" s="18">
        <v>0</v>
      </c>
      <c r="G167" s="18">
        <f>C167-F167</f>
        <v>1040000000</v>
      </c>
      <c r="H167" s="6" t="s">
        <v>42</v>
      </c>
      <c r="I167" s="219" t="s">
        <v>341</v>
      </c>
    </row>
    <row r="168" spans="1:9">
      <c r="A168" s="5"/>
      <c r="B168" s="6" t="s">
        <v>325</v>
      </c>
      <c r="C168" s="218">
        <f>SUM(D168:E168)</f>
        <v>288000000</v>
      </c>
      <c r="D168" s="18">
        <v>267000000</v>
      </c>
      <c r="E168" s="18">
        <v>21000000</v>
      </c>
      <c r="F168" s="18">
        <v>0</v>
      </c>
      <c r="G168" s="18">
        <f t="shared" ref="G168:G179" si="124">C168-F168</f>
        <v>288000000</v>
      </c>
      <c r="H168" s="6" t="s">
        <v>34</v>
      </c>
      <c r="I168" s="219" t="s">
        <v>341</v>
      </c>
    </row>
    <row r="169" spans="1:9" s="2" customFormat="1" ht="63">
      <c r="A169" s="8">
        <v>2</v>
      </c>
      <c r="B169" s="9" t="s">
        <v>51</v>
      </c>
      <c r="C169" s="20">
        <f>SUM(C170:C170)</f>
        <v>17618426161</v>
      </c>
      <c r="D169" s="20">
        <f t="shared" ref="D169:E169" si="125">SUM(D170:D170)</f>
        <v>17618426161</v>
      </c>
      <c r="E169" s="20">
        <f t="shared" si="125"/>
        <v>0</v>
      </c>
      <c r="F169" s="20">
        <f t="shared" ref="F169" si="126">SUM(F170:F170)</f>
        <v>16722187630</v>
      </c>
      <c r="G169" s="20">
        <f t="shared" ref="G169" si="127">SUM(G170:G170)</f>
        <v>896238531</v>
      </c>
      <c r="H169" s="10"/>
      <c r="I169" s="10"/>
    </row>
    <row r="170" spans="1:9" s="2" customFormat="1" ht="63">
      <c r="A170" s="8"/>
      <c r="B170" s="6" t="s">
        <v>326</v>
      </c>
      <c r="C170" s="218">
        <f>SUM(D170:E170)</f>
        <v>17618426161</v>
      </c>
      <c r="D170" s="18">
        <v>17618426161</v>
      </c>
      <c r="E170" s="18"/>
      <c r="F170" s="18">
        <f>'B1 PAĐC DTTS'!F157</f>
        <v>16722187630</v>
      </c>
      <c r="G170" s="18">
        <f t="shared" si="124"/>
        <v>896238531</v>
      </c>
      <c r="H170" s="6" t="s">
        <v>34</v>
      </c>
      <c r="I170" s="22" t="s">
        <v>928</v>
      </c>
    </row>
    <row r="171" spans="1:9" s="2" customFormat="1" ht="31.5">
      <c r="A171" s="8">
        <v>3</v>
      </c>
      <c r="B171" s="9" t="s">
        <v>85</v>
      </c>
      <c r="C171" s="20">
        <f>SUM(C172:C172)</f>
        <v>79852000</v>
      </c>
      <c r="D171" s="20">
        <f>SUM(D172:D172)</f>
        <v>27852000</v>
      </c>
      <c r="E171" s="20">
        <f>SUM(E172:E172)</f>
        <v>52000000</v>
      </c>
      <c r="F171" s="20">
        <f t="shared" ref="F171:G171" si="128">SUM(F172:F172)</f>
        <v>0</v>
      </c>
      <c r="G171" s="20">
        <f t="shared" si="128"/>
        <v>79852000</v>
      </c>
      <c r="H171" s="10"/>
      <c r="I171" s="10"/>
    </row>
    <row r="172" spans="1:9" ht="78.75">
      <c r="A172" s="5"/>
      <c r="B172" s="6" t="s">
        <v>328</v>
      </c>
      <c r="C172" s="218">
        <f>SUM(D172:E172)</f>
        <v>79852000</v>
      </c>
      <c r="D172" s="18">
        <v>27852000</v>
      </c>
      <c r="E172" s="18">
        <v>52000000</v>
      </c>
      <c r="F172" s="18">
        <v>0</v>
      </c>
      <c r="G172" s="18">
        <f t="shared" si="124"/>
        <v>79852000</v>
      </c>
      <c r="H172" s="6" t="s">
        <v>138</v>
      </c>
      <c r="I172" s="7" t="s">
        <v>342</v>
      </c>
    </row>
    <row r="173" spans="1:9" s="2" customFormat="1" ht="47.25">
      <c r="A173" s="8">
        <v>4</v>
      </c>
      <c r="B173" s="9" t="s">
        <v>100</v>
      </c>
      <c r="C173" s="20">
        <f>SUM(D173:E173)</f>
        <v>1170300867</v>
      </c>
      <c r="D173" s="20">
        <v>1109300867</v>
      </c>
      <c r="E173" s="20">
        <v>61000000</v>
      </c>
      <c r="F173" s="20">
        <v>0</v>
      </c>
      <c r="G173" s="20">
        <f t="shared" si="124"/>
        <v>1170300867</v>
      </c>
      <c r="H173" s="215" t="s">
        <v>42</v>
      </c>
      <c r="I173" s="215" t="s">
        <v>344</v>
      </c>
    </row>
    <row r="174" spans="1:9" s="2" customFormat="1" ht="63">
      <c r="A174" s="8">
        <v>5</v>
      </c>
      <c r="B174" s="9" t="s">
        <v>72</v>
      </c>
      <c r="C174" s="20">
        <f>SUM(C175:C175)</f>
        <v>147000000</v>
      </c>
      <c r="D174" s="20">
        <f t="shared" ref="D174" si="129">SUM(D175:D175)</f>
        <v>147000000</v>
      </c>
      <c r="E174" s="20">
        <f t="shared" ref="E174" si="130">SUM(E175:E175)</f>
        <v>0</v>
      </c>
      <c r="F174" s="20">
        <f t="shared" ref="F174" si="131">SUM(F175:F175)</f>
        <v>147000000</v>
      </c>
      <c r="G174" s="20">
        <f t="shared" ref="G174" si="132">SUM(G175:G175)</f>
        <v>0</v>
      </c>
      <c r="H174" s="10"/>
      <c r="I174" s="10"/>
    </row>
    <row r="175" spans="1:9" ht="63">
      <c r="A175" s="5"/>
      <c r="B175" s="6" t="s">
        <v>334</v>
      </c>
      <c r="C175" s="18">
        <f>SUM(D175:E175)</f>
        <v>147000000</v>
      </c>
      <c r="D175" s="18">
        <v>147000000</v>
      </c>
      <c r="E175" s="18"/>
      <c r="F175" s="18">
        <f>'B1 PAĐC DTTS'!F162</f>
        <v>147000000</v>
      </c>
      <c r="G175" s="18">
        <f t="shared" si="124"/>
        <v>0</v>
      </c>
      <c r="H175" s="7" t="s">
        <v>41</v>
      </c>
      <c r="I175" s="7" t="s">
        <v>819</v>
      </c>
    </row>
    <row r="176" spans="1:9" ht="22.5" customHeight="1">
      <c r="A176" s="14" t="s">
        <v>29</v>
      </c>
      <c r="B176" s="246" t="s">
        <v>21</v>
      </c>
      <c r="C176" s="21">
        <f>C177+C178</f>
        <v>483207200</v>
      </c>
      <c r="D176" s="21">
        <f t="shared" ref="D176" si="133">D177+D178</f>
        <v>483207200</v>
      </c>
      <c r="E176" s="21">
        <f t="shared" ref="E176" si="134">E177+E178</f>
        <v>0</v>
      </c>
      <c r="F176" s="21">
        <f t="shared" ref="F176" si="135">F177+F178</f>
        <v>369733600</v>
      </c>
      <c r="G176" s="21">
        <f t="shared" ref="G176" si="136">G177+G178</f>
        <v>113473600</v>
      </c>
      <c r="H176" s="366"/>
      <c r="I176" s="366"/>
    </row>
    <row r="177" spans="1:9" ht="47.25">
      <c r="A177" s="8">
        <v>1</v>
      </c>
      <c r="B177" s="9" t="s">
        <v>47</v>
      </c>
      <c r="C177" s="376">
        <f>SUM(D177:E177)</f>
        <v>183207200</v>
      </c>
      <c r="D177" s="376">
        <v>183207200</v>
      </c>
      <c r="E177" s="20"/>
      <c r="F177" s="20">
        <f>'B1 PAĐC DTTS'!F164</f>
        <v>172207200</v>
      </c>
      <c r="G177" s="20">
        <f t="shared" si="124"/>
        <v>11000000</v>
      </c>
      <c r="H177" s="7"/>
      <c r="I177" s="6" t="s">
        <v>820</v>
      </c>
    </row>
    <row r="178" spans="1:9" ht="63">
      <c r="A178" s="8">
        <v>2</v>
      </c>
      <c r="B178" s="228" t="s">
        <v>51</v>
      </c>
      <c r="C178" s="376">
        <f>C179</f>
        <v>300000000</v>
      </c>
      <c r="D178" s="376">
        <f t="shared" ref="D178" si="137">D179</f>
        <v>300000000</v>
      </c>
      <c r="E178" s="376">
        <f t="shared" ref="E178" si="138">E179</f>
        <v>0</v>
      </c>
      <c r="F178" s="376">
        <f t="shared" ref="F178" si="139">F179</f>
        <v>197526400</v>
      </c>
      <c r="G178" s="376">
        <f t="shared" ref="G178" si="140">G179</f>
        <v>102473600</v>
      </c>
      <c r="H178" s="362"/>
      <c r="I178" s="6"/>
    </row>
    <row r="179" spans="1:9" ht="47.25">
      <c r="A179" s="363"/>
      <c r="B179" s="364" t="s">
        <v>33</v>
      </c>
      <c r="C179" s="377">
        <f>SUM(D179:E179)</f>
        <v>300000000</v>
      </c>
      <c r="D179" s="377">
        <v>300000000</v>
      </c>
      <c r="E179" s="377"/>
      <c r="F179" s="377">
        <f>'B1 PAĐC DTTS'!F170</f>
        <v>197526400</v>
      </c>
      <c r="G179" s="257">
        <f t="shared" si="124"/>
        <v>102473600</v>
      </c>
      <c r="H179" s="365"/>
      <c r="I179" s="256" t="s">
        <v>820</v>
      </c>
    </row>
  </sheetData>
  <mergeCells count="13">
    <mergeCell ref="H81:H82"/>
    <mergeCell ref="I6:I8"/>
    <mergeCell ref="A2:I2"/>
    <mergeCell ref="A10:B10"/>
    <mergeCell ref="A3:I3"/>
    <mergeCell ref="A6:A8"/>
    <mergeCell ref="B6:B8"/>
    <mergeCell ref="C6:E6"/>
    <mergeCell ref="C7:C8"/>
    <mergeCell ref="D7:E7"/>
    <mergeCell ref="H6:H8"/>
    <mergeCell ref="F6:F8"/>
    <mergeCell ref="G6:G8"/>
  </mergeCells>
  <pageMargins left="0.55118110236220474" right="0.39370078740157483" top="0.43307086614173229" bottom="0.51181102362204722" header="0.31496062992125984" footer="0.31496062992125984"/>
  <pageSetup paperSize="9" scale="56" fitToHeight="0" orientation="landscape" verticalDpi="0"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F48"/>
  <sheetViews>
    <sheetView workbookViewId="0">
      <selection activeCell="E9" sqref="E9"/>
    </sheetView>
  </sheetViews>
  <sheetFormatPr defaultColWidth="9" defaultRowHeight="15.75"/>
  <cols>
    <col min="1" max="1" width="6.75" style="1" customWidth="1"/>
    <col min="2" max="2" width="36.625" style="1" customWidth="1"/>
    <col min="3" max="5" width="18.5" style="1" customWidth="1"/>
    <col min="6" max="6" width="48.875" style="1" customWidth="1"/>
    <col min="7" max="16384" width="9" style="1"/>
  </cols>
  <sheetData>
    <row r="1" spans="1:6">
      <c r="F1" s="55" t="s">
        <v>898</v>
      </c>
    </row>
    <row r="2" spans="1:6" ht="39.75" customHeight="1">
      <c r="A2" s="676" t="s">
        <v>745</v>
      </c>
      <c r="B2" s="695"/>
      <c r="C2" s="695"/>
      <c r="D2" s="695"/>
      <c r="E2" s="695"/>
      <c r="F2" s="695"/>
    </row>
    <row r="3" spans="1:6" ht="21.75" customHeight="1">
      <c r="A3" s="678" t="str">
        <f>'B7 TM TDA1 DA4 DTTS 2024'!A3:F3</f>
        <v>(Kèm theo Tờ trình số:                  /TTr-UBND ngày               /5/2024 của UBND tỉnh Bắc Kạn)</v>
      </c>
      <c r="B3" s="678"/>
      <c r="C3" s="678"/>
      <c r="D3" s="678"/>
      <c r="E3" s="678"/>
      <c r="F3" s="678"/>
    </row>
    <row r="5" spans="1:6">
      <c r="F5" s="56" t="s">
        <v>23</v>
      </c>
    </row>
    <row r="6" spans="1:6">
      <c r="A6" s="725" t="s">
        <v>1</v>
      </c>
      <c r="B6" s="725" t="s">
        <v>367</v>
      </c>
      <c r="C6" s="694" t="s">
        <v>368</v>
      </c>
      <c r="D6" s="694"/>
      <c r="E6" s="694"/>
      <c r="F6" s="694" t="s">
        <v>369</v>
      </c>
    </row>
    <row r="7" spans="1:6">
      <c r="A7" s="725"/>
      <c r="B7" s="725"/>
      <c r="C7" s="694" t="s">
        <v>10</v>
      </c>
      <c r="D7" s="694" t="s">
        <v>11</v>
      </c>
      <c r="E7" s="694"/>
      <c r="F7" s="694"/>
    </row>
    <row r="8" spans="1:6" ht="35.25" customHeight="1">
      <c r="A8" s="725"/>
      <c r="B8" s="725"/>
      <c r="C8" s="694"/>
      <c r="D8" s="3" t="str">
        <f>'B7 TM TDA1 DA4 DTTS 2024'!D8</f>
        <v>Ngân sách trung ương</v>
      </c>
      <c r="E8" s="3" t="str">
        <f>'B7 TM TDA1 DA4 DTTS 2024'!E8</f>
        <v>Ngân sách địa phương</v>
      </c>
      <c r="F8" s="694"/>
    </row>
    <row r="9" spans="1:6" ht="25.5" customHeight="1">
      <c r="A9" s="611"/>
      <c r="B9" s="611" t="s">
        <v>161</v>
      </c>
      <c r="C9" s="610">
        <f>C10+C16</f>
        <v>9763046528</v>
      </c>
      <c r="D9" s="610">
        <f t="shared" ref="D9:E9" si="0">D10+D16</f>
        <v>9399354932</v>
      </c>
      <c r="E9" s="610">
        <f t="shared" si="0"/>
        <v>363691596</v>
      </c>
      <c r="F9" s="614"/>
    </row>
    <row r="10" spans="1:6">
      <c r="A10" s="245" t="s">
        <v>8</v>
      </c>
      <c r="B10" s="245" t="s">
        <v>229</v>
      </c>
      <c r="C10" s="615">
        <f>C11+C13</f>
        <v>3360696210</v>
      </c>
      <c r="D10" s="615">
        <f t="shared" ref="D10:E10" si="1">D11+D13</f>
        <v>3249696210</v>
      </c>
      <c r="E10" s="615">
        <f t="shared" si="1"/>
        <v>111000000</v>
      </c>
      <c r="F10" s="616"/>
    </row>
    <row r="11" spans="1:6" s="234" customFormat="1">
      <c r="A11" s="280" t="s">
        <v>28</v>
      </c>
      <c r="B11" s="248" t="s">
        <v>170</v>
      </c>
      <c r="C11" s="612">
        <f>C12</f>
        <v>3285170210</v>
      </c>
      <c r="D11" s="612">
        <f>D12</f>
        <v>3180170210</v>
      </c>
      <c r="E11" s="612">
        <f>E12</f>
        <v>105000000</v>
      </c>
      <c r="F11" s="617"/>
    </row>
    <row r="12" spans="1:6" ht="31.5">
      <c r="A12" s="5">
        <v>1</v>
      </c>
      <c r="B12" s="6" t="s">
        <v>204</v>
      </c>
      <c r="C12" s="613">
        <f>D12+E12</f>
        <v>3285170210</v>
      </c>
      <c r="D12" s="613">
        <v>3180170210</v>
      </c>
      <c r="E12" s="613">
        <v>105000000</v>
      </c>
      <c r="F12" s="397" t="s">
        <v>1004</v>
      </c>
    </row>
    <row r="13" spans="1:6" s="234" customFormat="1">
      <c r="A13" s="280" t="s">
        <v>29</v>
      </c>
      <c r="B13" s="248" t="s">
        <v>235</v>
      </c>
      <c r="C13" s="618">
        <f t="shared" ref="C13:E14" si="2">C14</f>
        <v>75526000</v>
      </c>
      <c r="D13" s="618">
        <f t="shared" si="2"/>
        <v>69526000</v>
      </c>
      <c r="E13" s="618">
        <f t="shared" si="2"/>
        <v>6000000</v>
      </c>
      <c r="F13" s="617"/>
    </row>
    <row r="14" spans="1:6" ht="31.5">
      <c r="A14" s="5">
        <v>1</v>
      </c>
      <c r="B14" s="6" t="s">
        <v>298</v>
      </c>
      <c r="C14" s="613">
        <f t="shared" si="2"/>
        <v>75526000</v>
      </c>
      <c r="D14" s="613">
        <f t="shared" si="2"/>
        <v>69526000</v>
      </c>
      <c r="E14" s="613">
        <f t="shared" si="2"/>
        <v>6000000</v>
      </c>
      <c r="F14" s="397"/>
    </row>
    <row r="15" spans="1:6" ht="31.5">
      <c r="A15" s="19" t="s">
        <v>32</v>
      </c>
      <c r="B15" s="6" t="s">
        <v>292</v>
      </c>
      <c r="C15" s="613">
        <f>D15+E15</f>
        <v>75526000</v>
      </c>
      <c r="D15" s="613">
        <v>69526000</v>
      </c>
      <c r="E15" s="613">
        <v>6000000</v>
      </c>
      <c r="F15" s="342" t="s">
        <v>1005</v>
      </c>
    </row>
    <row r="16" spans="1:6">
      <c r="A16" s="245" t="s">
        <v>20</v>
      </c>
      <c r="B16" s="246" t="s">
        <v>242</v>
      </c>
      <c r="C16" s="615">
        <f>C17+C23+C34</f>
        <v>6402350318</v>
      </c>
      <c r="D16" s="615">
        <f t="shared" ref="D16:E16" si="3">D17+D23+D34</f>
        <v>6149658722</v>
      </c>
      <c r="E16" s="615">
        <f t="shared" si="3"/>
        <v>252691596</v>
      </c>
      <c r="F16" s="619"/>
    </row>
    <row r="17" spans="1:6" s="234" customFormat="1">
      <c r="A17" s="280" t="s">
        <v>28</v>
      </c>
      <c r="B17" s="250" t="s">
        <v>243</v>
      </c>
      <c r="C17" s="618">
        <f>C18+C19+C21</f>
        <v>2545415824</v>
      </c>
      <c r="D17" s="618">
        <f>D18+D19+D21</f>
        <v>2449415824</v>
      </c>
      <c r="E17" s="618">
        <f>E18+E19+E21</f>
        <v>96000000</v>
      </c>
      <c r="F17" s="617"/>
    </row>
    <row r="18" spans="1:6" ht="31.5">
      <c r="A18" s="5">
        <v>1</v>
      </c>
      <c r="B18" s="6" t="s">
        <v>204</v>
      </c>
      <c r="C18" s="613">
        <f>D18+E18</f>
        <v>778278375</v>
      </c>
      <c r="D18" s="613">
        <v>768101840</v>
      </c>
      <c r="E18" s="613">
        <v>10176535</v>
      </c>
      <c r="F18" s="397" t="s">
        <v>1004</v>
      </c>
    </row>
    <row r="19" spans="1:6" ht="31.5">
      <c r="A19" s="5">
        <v>2</v>
      </c>
      <c r="B19" s="397" t="s">
        <v>206</v>
      </c>
      <c r="C19" s="613">
        <f>C20</f>
        <v>1567137449</v>
      </c>
      <c r="D19" s="613">
        <f>D20</f>
        <v>1487313984</v>
      </c>
      <c r="E19" s="613">
        <f>E20</f>
        <v>79823465</v>
      </c>
      <c r="F19" s="397"/>
    </row>
    <row r="20" spans="1:6" ht="31.5">
      <c r="A20" s="19" t="s">
        <v>32</v>
      </c>
      <c r="B20" s="397" t="s">
        <v>207</v>
      </c>
      <c r="C20" s="613">
        <f>D20+E20</f>
        <v>1567137449</v>
      </c>
      <c r="D20" s="613">
        <v>1487313984</v>
      </c>
      <c r="E20" s="613">
        <v>79823465</v>
      </c>
      <c r="F20" s="397" t="s">
        <v>1004</v>
      </c>
    </row>
    <row r="21" spans="1:6" ht="31.5">
      <c r="A21" s="5">
        <v>3</v>
      </c>
      <c r="B21" s="342" t="s">
        <v>237</v>
      </c>
      <c r="C21" s="613">
        <f>C22</f>
        <v>200000000</v>
      </c>
      <c r="D21" s="613">
        <f t="shared" ref="D21:E21" si="4">D22</f>
        <v>194000000</v>
      </c>
      <c r="E21" s="613">
        <f t="shared" si="4"/>
        <v>6000000</v>
      </c>
      <c r="F21" s="397"/>
    </row>
    <row r="22" spans="1:6" ht="63">
      <c r="A22" s="19" t="s">
        <v>32</v>
      </c>
      <c r="B22" s="342" t="s">
        <v>239</v>
      </c>
      <c r="C22" s="613">
        <f>D22+E22</f>
        <v>200000000</v>
      </c>
      <c r="D22" s="613">
        <v>194000000</v>
      </c>
      <c r="E22" s="613">
        <v>6000000</v>
      </c>
      <c r="F22" s="342" t="s">
        <v>1006</v>
      </c>
    </row>
    <row r="23" spans="1:6">
      <c r="A23" s="280" t="s">
        <v>29</v>
      </c>
      <c r="B23" s="384" t="s">
        <v>251</v>
      </c>
      <c r="C23" s="618">
        <f>C24+C25+C28+C31</f>
        <v>3568000000</v>
      </c>
      <c r="D23" s="618">
        <f t="shared" ref="D23:E23" si="5">D24+D25+D28+D31</f>
        <v>3464000000</v>
      </c>
      <c r="E23" s="618">
        <f t="shared" si="5"/>
        <v>104000000</v>
      </c>
      <c r="F23" s="384"/>
    </row>
    <row r="24" spans="1:6" ht="31.5">
      <c r="A24" s="5">
        <v>1</v>
      </c>
      <c r="B24" s="342" t="s">
        <v>204</v>
      </c>
      <c r="C24" s="613">
        <f>D24+E24</f>
        <v>307669055</v>
      </c>
      <c r="D24" s="613">
        <v>307669055</v>
      </c>
      <c r="E24" s="613">
        <v>0</v>
      </c>
      <c r="F24" s="342" t="s">
        <v>1004</v>
      </c>
    </row>
    <row r="25" spans="1:6" ht="31.5">
      <c r="A25" s="5">
        <v>2</v>
      </c>
      <c r="B25" s="342" t="s">
        <v>206</v>
      </c>
      <c r="C25" s="613">
        <f>C26+C27</f>
        <v>2619008200</v>
      </c>
      <c r="D25" s="613">
        <f t="shared" ref="D25:E25" si="6">D26+D27</f>
        <v>2521558200</v>
      </c>
      <c r="E25" s="613">
        <f t="shared" si="6"/>
        <v>97450000</v>
      </c>
      <c r="F25" s="342" t="s">
        <v>1004</v>
      </c>
    </row>
    <row r="26" spans="1:6" ht="31.5">
      <c r="A26" s="19" t="s">
        <v>32</v>
      </c>
      <c r="B26" s="342" t="s">
        <v>207</v>
      </c>
      <c r="C26" s="613">
        <f>D26+E26</f>
        <v>2539008200</v>
      </c>
      <c r="D26" s="613">
        <v>2441558200</v>
      </c>
      <c r="E26" s="613">
        <v>97450000</v>
      </c>
      <c r="F26" s="342"/>
    </row>
    <row r="27" spans="1:6" ht="126">
      <c r="A27" s="19" t="s">
        <v>32</v>
      </c>
      <c r="B27" s="342" t="s">
        <v>244</v>
      </c>
      <c r="C27" s="613">
        <f>D27+E27</f>
        <v>80000000</v>
      </c>
      <c r="D27" s="613">
        <v>80000000</v>
      </c>
      <c r="E27" s="613"/>
      <c r="F27" s="342" t="s">
        <v>310</v>
      </c>
    </row>
    <row r="28" spans="1:6" ht="31.5">
      <c r="A28" s="5">
        <v>3</v>
      </c>
      <c r="B28" s="342" t="s">
        <v>298</v>
      </c>
      <c r="C28" s="613">
        <f>C29+C30</f>
        <v>180000000</v>
      </c>
      <c r="D28" s="613">
        <f t="shared" ref="D28:E28" si="7">D29+D30</f>
        <v>180000000</v>
      </c>
      <c r="E28" s="613">
        <f t="shared" si="7"/>
        <v>0</v>
      </c>
      <c r="F28" s="342"/>
    </row>
    <row r="29" spans="1:6" ht="31.5">
      <c r="A29" s="19" t="s">
        <v>32</v>
      </c>
      <c r="B29" s="342" t="s">
        <v>292</v>
      </c>
      <c r="C29" s="613">
        <f>D29+E29</f>
        <v>80000000</v>
      </c>
      <c r="D29" s="613">
        <v>80000000</v>
      </c>
      <c r="E29" s="613"/>
      <c r="F29" s="342" t="s">
        <v>1005</v>
      </c>
    </row>
    <row r="30" spans="1:6" ht="78.75">
      <c r="A30" s="19" t="s">
        <v>32</v>
      </c>
      <c r="B30" s="342" t="s">
        <v>311</v>
      </c>
      <c r="C30" s="613">
        <f>D30+E30</f>
        <v>100000000</v>
      </c>
      <c r="D30" s="613">
        <v>100000000</v>
      </c>
      <c r="E30" s="613"/>
      <c r="F30" s="342" t="s">
        <v>1007</v>
      </c>
    </row>
    <row r="31" spans="1:6" ht="31.5">
      <c r="A31" s="5">
        <v>4</v>
      </c>
      <c r="B31" s="342" t="s">
        <v>1008</v>
      </c>
      <c r="C31" s="613">
        <f>C32+C33</f>
        <v>461322745</v>
      </c>
      <c r="D31" s="613">
        <f t="shared" ref="D31:E31" si="8">D32+D33</f>
        <v>454772745</v>
      </c>
      <c r="E31" s="613">
        <f t="shared" si="8"/>
        <v>6550000</v>
      </c>
      <c r="F31" s="342"/>
    </row>
    <row r="32" spans="1:6" ht="63">
      <c r="A32" s="19" t="s">
        <v>32</v>
      </c>
      <c r="B32" s="342" t="s">
        <v>239</v>
      </c>
      <c r="C32" s="613">
        <f>D32+E32</f>
        <v>324778300</v>
      </c>
      <c r="D32" s="613">
        <v>324778300</v>
      </c>
      <c r="E32" s="613"/>
      <c r="F32" s="342" t="s">
        <v>1006</v>
      </c>
    </row>
    <row r="33" spans="1:6" ht="47.25">
      <c r="A33" s="19" t="s">
        <v>32</v>
      </c>
      <c r="B33" s="7" t="s">
        <v>240</v>
      </c>
      <c r="C33" s="613">
        <f>D33+E33</f>
        <v>136544445</v>
      </c>
      <c r="D33" s="613">
        <v>129994445</v>
      </c>
      <c r="E33" s="613">
        <v>6550000</v>
      </c>
      <c r="F33" s="397" t="s">
        <v>1009</v>
      </c>
    </row>
    <row r="34" spans="1:6">
      <c r="A34" s="280" t="s">
        <v>253</v>
      </c>
      <c r="B34" s="384" t="s">
        <v>254</v>
      </c>
      <c r="C34" s="618">
        <f>C35+C36+C38</f>
        <v>288934494</v>
      </c>
      <c r="D34" s="618">
        <f t="shared" ref="D34:E34" si="9">D35+D36+D38</f>
        <v>236242898</v>
      </c>
      <c r="E34" s="618">
        <f t="shared" si="9"/>
        <v>52691596</v>
      </c>
      <c r="F34" s="384"/>
    </row>
    <row r="35" spans="1:6" ht="31.5">
      <c r="A35" s="5">
        <v>1</v>
      </c>
      <c r="B35" s="342" t="s">
        <v>318</v>
      </c>
      <c r="C35" s="613">
        <f>D35+E35</f>
        <v>40100494</v>
      </c>
      <c r="D35" s="613">
        <v>33408898</v>
      </c>
      <c r="E35" s="613">
        <v>6691596</v>
      </c>
      <c r="F35" s="342" t="s">
        <v>1010</v>
      </c>
    </row>
    <row r="36" spans="1:6" ht="31.5">
      <c r="A36" s="5">
        <v>2</v>
      </c>
      <c r="B36" s="342" t="s">
        <v>206</v>
      </c>
      <c r="C36" s="613">
        <f>C37</f>
        <v>48834000</v>
      </c>
      <c r="D36" s="613">
        <f t="shared" ref="D36:E36" si="10">D37</f>
        <v>2834000</v>
      </c>
      <c r="E36" s="613">
        <f t="shared" si="10"/>
        <v>46000000</v>
      </c>
      <c r="F36" s="342" t="s">
        <v>1004</v>
      </c>
    </row>
    <row r="37" spans="1:6" ht="126">
      <c r="A37" s="19" t="s">
        <v>32</v>
      </c>
      <c r="B37" s="342" t="s">
        <v>244</v>
      </c>
      <c r="C37" s="613">
        <f>D37+E37</f>
        <v>48834000</v>
      </c>
      <c r="D37" s="613">
        <v>2834000</v>
      </c>
      <c r="E37" s="613">
        <v>46000000</v>
      </c>
      <c r="F37" s="342" t="s">
        <v>310</v>
      </c>
    </row>
    <row r="38" spans="1:6" ht="31.5">
      <c r="A38" s="5">
        <v>3</v>
      </c>
      <c r="B38" s="342" t="s">
        <v>298</v>
      </c>
      <c r="C38" s="613">
        <f>C39</f>
        <v>200000000</v>
      </c>
      <c r="D38" s="613">
        <f t="shared" ref="D38:E38" si="11">D39</f>
        <v>200000000</v>
      </c>
      <c r="E38" s="613">
        <f t="shared" si="11"/>
        <v>0</v>
      </c>
      <c r="F38" s="342"/>
    </row>
    <row r="39" spans="1:6" ht="63">
      <c r="A39" s="19" t="s">
        <v>32</v>
      </c>
      <c r="B39" s="342" t="s">
        <v>292</v>
      </c>
      <c r="C39" s="613">
        <f>D39+E39</f>
        <v>200000000</v>
      </c>
      <c r="D39" s="613">
        <v>200000000</v>
      </c>
      <c r="E39" s="613">
        <v>0</v>
      </c>
      <c r="F39" s="342" t="s">
        <v>1011</v>
      </c>
    </row>
    <row r="40" spans="1:6">
      <c r="A40" s="280" t="s">
        <v>262</v>
      </c>
      <c r="B40" s="384" t="s">
        <v>193</v>
      </c>
      <c r="C40" s="618">
        <f>C41</f>
        <v>475883050</v>
      </c>
      <c r="D40" s="618">
        <f t="shared" ref="D40:E41" si="12">D41</f>
        <v>450019050</v>
      </c>
      <c r="E40" s="618">
        <f t="shared" si="12"/>
        <v>25864000</v>
      </c>
      <c r="F40" s="384"/>
    </row>
    <row r="41" spans="1:6" ht="31.5">
      <c r="A41" s="5">
        <v>1</v>
      </c>
      <c r="B41" s="342" t="s">
        <v>206</v>
      </c>
      <c r="C41" s="613">
        <f>C42</f>
        <v>475883050</v>
      </c>
      <c r="D41" s="613">
        <f t="shared" si="12"/>
        <v>450019050</v>
      </c>
      <c r="E41" s="613">
        <f t="shared" si="12"/>
        <v>25864000</v>
      </c>
      <c r="F41" s="342"/>
    </row>
    <row r="42" spans="1:6">
      <c r="A42" s="342"/>
      <c r="B42" s="613" t="s">
        <v>302</v>
      </c>
      <c r="C42" s="613">
        <f>D42+E42</f>
        <v>475883050</v>
      </c>
      <c r="D42" s="613">
        <v>450019050</v>
      </c>
      <c r="E42" s="613">
        <v>25864000</v>
      </c>
      <c r="F42" s="342" t="s">
        <v>1004</v>
      </c>
    </row>
    <row r="43" spans="1:6" s="234" customFormat="1">
      <c r="A43" s="280" t="s">
        <v>276</v>
      </c>
      <c r="B43" s="384" t="s">
        <v>992</v>
      </c>
      <c r="C43" s="618">
        <f>C44+C46+C47</f>
        <v>6510569877</v>
      </c>
      <c r="D43" s="618">
        <f t="shared" ref="D43:E43" si="13">D44+D46+D47</f>
        <v>6469014207</v>
      </c>
      <c r="E43" s="618">
        <f t="shared" si="13"/>
        <v>41555670</v>
      </c>
      <c r="F43" s="384"/>
    </row>
    <row r="44" spans="1:6" ht="47.25">
      <c r="A44" s="5">
        <v>1</v>
      </c>
      <c r="B44" s="6" t="s">
        <v>972</v>
      </c>
      <c r="C44" s="29">
        <f>D44+E44</f>
        <v>2209914869</v>
      </c>
      <c r="D44" s="29">
        <f>D45</f>
        <v>2199714869</v>
      </c>
      <c r="E44" s="29">
        <v>10200000</v>
      </c>
      <c r="F44" s="397"/>
    </row>
    <row r="45" spans="1:6" ht="63">
      <c r="A45" s="5" t="s">
        <v>32</v>
      </c>
      <c r="B45" s="397" t="s">
        <v>1012</v>
      </c>
      <c r="C45" s="254">
        <f>D45+E45</f>
        <v>2209914869</v>
      </c>
      <c r="D45" s="254">
        <v>2199714869</v>
      </c>
      <c r="E45" s="254">
        <v>10200000</v>
      </c>
      <c r="F45" s="397" t="s">
        <v>974</v>
      </c>
    </row>
    <row r="46" spans="1:6" ht="31.5">
      <c r="A46" s="5">
        <v>2</v>
      </c>
      <c r="B46" s="397" t="s">
        <v>975</v>
      </c>
      <c r="C46" s="254">
        <f>D46+E46</f>
        <v>4056805008</v>
      </c>
      <c r="D46" s="254">
        <v>4025449338</v>
      </c>
      <c r="E46" s="254">
        <v>31355670</v>
      </c>
      <c r="F46" s="397" t="s">
        <v>1004</v>
      </c>
    </row>
    <row r="47" spans="1:6" ht="31.5">
      <c r="A47" s="5">
        <v>2</v>
      </c>
      <c r="B47" s="6" t="s">
        <v>206</v>
      </c>
      <c r="C47" s="18">
        <f>D47+E47</f>
        <v>243850000</v>
      </c>
      <c r="D47" s="18">
        <f>D48</f>
        <v>243850000</v>
      </c>
      <c r="E47" s="18"/>
      <c r="F47" s="730" t="s">
        <v>1013</v>
      </c>
    </row>
    <row r="48" spans="1:6">
      <c r="A48" s="255" t="s">
        <v>32</v>
      </c>
      <c r="B48" s="256" t="s">
        <v>1014</v>
      </c>
      <c r="C48" s="257">
        <f>D48</f>
        <v>243850000</v>
      </c>
      <c r="D48" s="338">
        <v>243850000</v>
      </c>
      <c r="E48" s="257"/>
      <c r="F48" s="731"/>
    </row>
  </sheetData>
  <mergeCells count="9">
    <mergeCell ref="F47:F48"/>
    <mergeCell ref="A2:F2"/>
    <mergeCell ref="A3:F3"/>
    <mergeCell ref="A6:A8"/>
    <mergeCell ref="B6:B8"/>
    <mergeCell ref="C6:E6"/>
    <mergeCell ref="F6:F8"/>
    <mergeCell ref="C7:C8"/>
    <mergeCell ref="D7:E7"/>
  </mergeCells>
  <pageMargins left="0.62992125984251968" right="0.31496062992125984" top="0.51181102362204722" bottom="0.55118110236220474" header="0.31496062992125984" footer="0.31496062992125984"/>
  <pageSetup paperSize="9" scale="87" fitToHeight="0" orientation="landscape" verticalDpi="0"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H50"/>
  <sheetViews>
    <sheetView workbookViewId="0">
      <selection activeCell="G9" sqref="G9"/>
    </sheetView>
  </sheetViews>
  <sheetFormatPr defaultColWidth="9" defaultRowHeight="15.75"/>
  <cols>
    <col min="1" max="1" width="6.75" style="1" customWidth="1"/>
    <col min="2" max="2" width="36.625" style="1" customWidth="1"/>
    <col min="3" max="4" width="15.875" style="1" customWidth="1"/>
    <col min="5" max="7" width="18.5" style="1" customWidth="1"/>
    <col min="8" max="8" width="28.25" style="1" customWidth="1"/>
    <col min="9" max="16384" width="9" style="1"/>
  </cols>
  <sheetData>
    <row r="1" spans="1:8">
      <c r="H1" s="55" t="s">
        <v>899</v>
      </c>
    </row>
    <row r="2" spans="1:8" ht="43.5" customHeight="1">
      <c r="A2" s="676" t="s">
        <v>747</v>
      </c>
      <c r="B2" s="695"/>
      <c r="C2" s="695"/>
      <c r="D2" s="695"/>
      <c r="E2" s="695"/>
      <c r="F2" s="695"/>
      <c r="G2" s="695"/>
      <c r="H2" s="695"/>
    </row>
    <row r="3" spans="1:8" ht="20.25" customHeight="1">
      <c r="A3" s="678" t="str">
        <f>'B8 TM tăng GNBV'!A3:F3</f>
        <v>(Kèm theo Tờ trình số:                  /TTr-UBND ngày               /5/2024 của UBND tỉnh Bắc Kạn)</v>
      </c>
      <c r="B3" s="678"/>
      <c r="C3" s="678"/>
      <c r="D3" s="678"/>
      <c r="E3" s="678"/>
      <c r="F3" s="678"/>
      <c r="G3" s="678"/>
      <c r="H3" s="678"/>
    </row>
    <row r="5" spans="1:8">
      <c r="H5" s="56" t="s">
        <v>23</v>
      </c>
    </row>
    <row r="6" spans="1:8" ht="35.25" customHeight="1">
      <c r="A6" s="725" t="s">
        <v>1</v>
      </c>
      <c r="B6" s="694" t="s">
        <v>748</v>
      </c>
      <c r="C6" s="694" t="s">
        <v>377</v>
      </c>
      <c r="D6" s="694" t="s">
        <v>378</v>
      </c>
      <c r="E6" s="694" t="s">
        <v>379</v>
      </c>
      <c r="F6" s="694"/>
      <c r="G6" s="694"/>
      <c r="H6" s="694" t="s">
        <v>380</v>
      </c>
    </row>
    <row r="7" spans="1:8" ht="17.25" customHeight="1">
      <c r="A7" s="725"/>
      <c r="B7" s="694"/>
      <c r="C7" s="694"/>
      <c r="D7" s="694"/>
      <c r="E7" s="694" t="s">
        <v>10</v>
      </c>
      <c r="F7" s="694" t="s">
        <v>11</v>
      </c>
      <c r="G7" s="694"/>
      <c r="H7" s="694"/>
    </row>
    <row r="8" spans="1:8" ht="29.25" customHeight="1">
      <c r="A8" s="725"/>
      <c r="B8" s="694"/>
      <c r="C8" s="694"/>
      <c r="D8" s="694"/>
      <c r="E8" s="694"/>
      <c r="F8" s="3" t="str">
        <f>'B8 TM tăng GNBV'!D8</f>
        <v>Ngân sách trung ương</v>
      </c>
      <c r="G8" s="3" t="str">
        <f>'B8 TM tăng GNBV'!E8</f>
        <v>Ngân sách địa phương</v>
      </c>
      <c r="H8" s="694"/>
    </row>
    <row r="9" spans="1:8" s="106" customFormat="1" ht="17.25" customHeight="1">
      <c r="A9" s="258">
        <v>1</v>
      </c>
      <c r="B9" s="259">
        <v>2</v>
      </c>
      <c r="C9" s="258">
        <v>3</v>
      </c>
      <c r="D9" s="259">
        <v>4</v>
      </c>
      <c r="E9" s="258" t="s">
        <v>381</v>
      </c>
      <c r="F9" s="259">
        <v>6</v>
      </c>
      <c r="G9" s="258">
        <v>7</v>
      </c>
      <c r="H9" s="259">
        <v>8</v>
      </c>
    </row>
    <row r="10" spans="1:8" s="620" customFormat="1" ht="24.75" customHeight="1">
      <c r="A10" s="628"/>
      <c r="B10" s="538" t="s">
        <v>168</v>
      </c>
      <c r="C10" s="630">
        <f>C11+C18+C29+C38+C42</f>
        <v>13773826373</v>
      </c>
      <c r="D10" s="630">
        <f t="shared" ref="D10:G10" si="0">D11+D18+D29+D38+D42</f>
        <v>763875026</v>
      </c>
      <c r="E10" s="630">
        <f t="shared" si="0"/>
        <v>13009951347</v>
      </c>
      <c r="F10" s="630">
        <f t="shared" si="0"/>
        <v>12707203515</v>
      </c>
      <c r="G10" s="630">
        <f t="shared" si="0"/>
        <v>302747832</v>
      </c>
      <c r="H10" s="538"/>
    </row>
    <row r="11" spans="1:8" s="620" customFormat="1">
      <c r="A11" s="74" t="s">
        <v>28</v>
      </c>
      <c r="B11" s="75" t="s">
        <v>170</v>
      </c>
      <c r="C11" s="631">
        <f>C12</f>
        <v>3285170210</v>
      </c>
      <c r="D11" s="629">
        <f t="shared" ref="D11:G11" si="1">D12</f>
        <v>0</v>
      </c>
      <c r="E11" s="629">
        <f t="shared" si="1"/>
        <v>3285170210</v>
      </c>
      <c r="F11" s="629">
        <f t="shared" si="1"/>
        <v>3180170210</v>
      </c>
      <c r="G11" s="629">
        <f t="shared" si="1"/>
        <v>105000000</v>
      </c>
      <c r="H11" s="556"/>
    </row>
    <row r="12" spans="1:8" s="621" customFormat="1" ht="31.5">
      <c r="A12" s="50">
        <v>1</v>
      </c>
      <c r="B12" s="30" t="s">
        <v>204</v>
      </c>
      <c r="C12" s="416">
        <f>SUM(C13:C17)</f>
        <v>3285170210</v>
      </c>
      <c r="D12" s="51"/>
      <c r="E12" s="51">
        <f t="shared" ref="E12:G12" si="2">SUM(E13:E17)</f>
        <v>3285170210</v>
      </c>
      <c r="F12" s="51">
        <f t="shared" si="2"/>
        <v>3180170210</v>
      </c>
      <c r="G12" s="51">
        <f t="shared" si="2"/>
        <v>105000000</v>
      </c>
      <c r="H12" s="38"/>
    </row>
    <row r="13" spans="1:8" s="622" customFormat="1" ht="31.5">
      <c r="A13" s="560" t="s">
        <v>32</v>
      </c>
      <c r="B13" s="71" t="s">
        <v>1015</v>
      </c>
      <c r="C13" s="416">
        <v>550000000</v>
      </c>
      <c r="D13" s="51">
        <v>0</v>
      </c>
      <c r="E13" s="51">
        <v>550000000</v>
      </c>
      <c r="F13" s="51">
        <v>534000000</v>
      </c>
      <c r="G13" s="51">
        <v>16000000</v>
      </c>
      <c r="H13" s="732" t="s">
        <v>1016</v>
      </c>
    </row>
    <row r="14" spans="1:8" s="622" customFormat="1" ht="63">
      <c r="A14" s="560" t="s">
        <v>32</v>
      </c>
      <c r="B14" s="71" t="s">
        <v>1017</v>
      </c>
      <c r="C14" s="416">
        <v>900000000</v>
      </c>
      <c r="D14" s="51">
        <v>0</v>
      </c>
      <c r="E14" s="51">
        <v>900000000</v>
      </c>
      <c r="F14" s="51">
        <v>873800000</v>
      </c>
      <c r="G14" s="51">
        <v>26200000</v>
      </c>
      <c r="H14" s="732"/>
    </row>
    <row r="15" spans="1:8" s="622" customFormat="1" ht="31.5">
      <c r="A15" s="560" t="s">
        <v>32</v>
      </c>
      <c r="B15" s="71" t="s">
        <v>1018</v>
      </c>
      <c r="C15" s="416">
        <v>600000000</v>
      </c>
      <c r="D15" s="51">
        <v>0</v>
      </c>
      <c r="E15" s="51">
        <v>600000000</v>
      </c>
      <c r="F15" s="51">
        <v>582500000</v>
      </c>
      <c r="G15" s="51">
        <v>17450000</v>
      </c>
      <c r="H15" s="732"/>
    </row>
    <row r="16" spans="1:8" s="622" customFormat="1" ht="31.5">
      <c r="A16" s="560" t="s">
        <v>32</v>
      </c>
      <c r="B16" s="71" t="s">
        <v>1019</v>
      </c>
      <c r="C16" s="416">
        <v>700000000</v>
      </c>
      <c r="D16" s="51">
        <v>0</v>
      </c>
      <c r="E16" s="51">
        <v>700000000</v>
      </c>
      <c r="F16" s="51">
        <v>679600000</v>
      </c>
      <c r="G16" s="51">
        <v>20400000</v>
      </c>
      <c r="H16" s="732"/>
    </row>
    <row r="17" spans="1:8" s="622" customFormat="1" ht="31.5">
      <c r="A17" s="560" t="s">
        <v>32</v>
      </c>
      <c r="B17" s="71" t="s">
        <v>1020</v>
      </c>
      <c r="C17" s="416">
        <v>535170210</v>
      </c>
      <c r="D17" s="51">
        <v>0</v>
      </c>
      <c r="E17" s="51">
        <v>535170210</v>
      </c>
      <c r="F17" s="51">
        <v>510270210</v>
      </c>
      <c r="G17" s="51">
        <v>24950000</v>
      </c>
      <c r="H17" s="732"/>
    </row>
    <row r="18" spans="1:8" s="235" customFormat="1">
      <c r="A18" s="74" t="s">
        <v>29</v>
      </c>
      <c r="B18" s="76" t="s">
        <v>243</v>
      </c>
      <c r="C18" s="631">
        <f>C19+C24</f>
        <v>3109290850</v>
      </c>
      <c r="D18" s="631">
        <f>D19+D24</f>
        <v>763875026</v>
      </c>
      <c r="E18" s="631">
        <f>E19+E24</f>
        <v>2345415824</v>
      </c>
      <c r="F18" s="631">
        <f>F19+F24</f>
        <v>2302337662</v>
      </c>
      <c r="G18" s="631">
        <f>G19+G24</f>
        <v>43078162</v>
      </c>
      <c r="H18" s="76"/>
    </row>
    <row r="19" spans="1:8" s="235" customFormat="1" ht="31.5">
      <c r="A19" s="49">
        <v>1</v>
      </c>
      <c r="B19" s="33" t="s">
        <v>204</v>
      </c>
      <c r="C19" s="270">
        <f>SUM(C20:C23)</f>
        <v>1369000000</v>
      </c>
      <c r="D19" s="270">
        <f>SUM(D20:D23)</f>
        <v>590721625</v>
      </c>
      <c r="E19" s="270">
        <f>SUM(E20:E23)</f>
        <v>778278375</v>
      </c>
      <c r="F19" s="270">
        <f t="shared" ref="F19:G19" si="3">SUM(F20:F23)</f>
        <v>768101840</v>
      </c>
      <c r="G19" s="270">
        <f t="shared" si="3"/>
        <v>10176535</v>
      </c>
      <c r="H19" s="415"/>
    </row>
    <row r="20" spans="1:8" s="412" customFormat="1" ht="31.5">
      <c r="A20" s="560" t="s">
        <v>32</v>
      </c>
      <c r="B20" s="624" t="s">
        <v>403</v>
      </c>
      <c r="C20" s="416">
        <v>400000000</v>
      </c>
      <c r="D20" s="416">
        <v>267723500</v>
      </c>
      <c r="E20" s="416">
        <f>F20+G20</f>
        <v>132276500</v>
      </c>
      <c r="F20" s="416">
        <v>132276500</v>
      </c>
      <c r="G20" s="416">
        <v>0</v>
      </c>
      <c r="H20" s="417" t="s">
        <v>608</v>
      </c>
    </row>
    <row r="21" spans="1:8" s="412" customFormat="1" ht="31.5">
      <c r="A21" s="560" t="s">
        <v>32</v>
      </c>
      <c r="B21" s="624" t="s">
        <v>403</v>
      </c>
      <c r="C21" s="416">
        <v>450000000</v>
      </c>
      <c r="D21" s="416">
        <v>13998125</v>
      </c>
      <c r="E21" s="416">
        <f t="shared" ref="E21:E23" si="4">F21+G21</f>
        <v>436001875</v>
      </c>
      <c r="F21" s="416">
        <v>432125340</v>
      </c>
      <c r="G21" s="416">
        <v>3876535</v>
      </c>
      <c r="H21" s="417" t="s">
        <v>580</v>
      </c>
    </row>
    <row r="22" spans="1:8" s="412" customFormat="1" ht="31.5">
      <c r="A22" s="560" t="s">
        <v>32</v>
      </c>
      <c r="B22" s="624" t="s">
        <v>403</v>
      </c>
      <c r="C22" s="416">
        <v>303000000</v>
      </c>
      <c r="D22" s="416">
        <v>103000000</v>
      </c>
      <c r="E22" s="416">
        <f t="shared" si="4"/>
        <v>200000000</v>
      </c>
      <c r="F22" s="416">
        <v>194000000</v>
      </c>
      <c r="G22" s="416">
        <v>6000000</v>
      </c>
      <c r="H22" s="417" t="s">
        <v>602</v>
      </c>
    </row>
    <row r="23" spans="1:8" s="412" customFormat="1" ht="31.5">
      <c r="A23" s="560" t="s">
        <v>32</v>
      </c>
      <c r="B23" s="624" t="s">
        <v>1021</v>
      </c>
      <c r="C23" s="416">
        <v>216000000</v>
      </c>
      <c r="D23" s="416">
        <v>206000000</v>
      </c>
      <c r="E23" s="416">
        <f t="shared" si="4"/>
        <v>10000000</v>
      </c>
      <c r="F23" s="416">
        <v>9700000</v>
      </c>
      <c r="G23" s="416">
        <v>300000</v>
      </c>
      <c r="H23" s="417" t="s">
        <v>588</v>
      </c>
    </row>
    <row r="24" spans="1:8" s="235" customFormat="1" ht="31.5">
      <c r="A24" s="49">
        <v>2</v>
      </c>
      <c r="B24" s="33" t="s">
        <v>1022</v>
      </c>
      <c r="C24" s="270">
        <f t="shared" ref="C24:D24" si="5">SUM(C25:C28)</f>
        <v>1740290850</v>
      </c>
      <c r="D24" s="270">
        <f t="shared" si="5"/>
        <v>173153401</v>
      </c>
      <c r="E24" s="270">
        <f>SUM(E25:E28)</f>
        <v>1567137449</v>
      </c>
      <c r="F24" s="270">
        <f t="shared" ref="F24:G24" si="6">SUM(F25:F28)</f>
        <v>1534235822</v>
      </c>
      <c r="G24" s="270">
        <f t="shared" si="6"/>
        <v>32901627</v>
      </c>
      <c r="H24" s="415"/>
    </row>
    <row r="25" spans="1:8" s="412" customFormat="1" ht="31.5">
      <c r="A25" s="560" t="s">
        <v>32</v>
      </c>
      <c r="B25" s="567" t="s">
        <v>403</v>
      </c>
      <c r="C25" s="416">
        <v>330000000</v>
      </c>
      <c r="D25" s="416">
        <v>130000000</v>
      </c>
      <c r="E25" s="416">
        <f>F25+G25</f>
        <v>200000000</v>
      </c>
      <c r="F25" s="32">
        <v>194000000</v>
      </c>
      <c r="G25" s="32">
        <v>6000000</v>
      </c>
      <c r="H25" s="30" t="s">
        <v>1023</v>
      </c>
    </row>
    <row r="26" spans="1:8" s="412" customFormat="1" ht="31.5">
      <c r="A26" s="560" t="s">
        <v>32</v>
      </c>
      <c r="B26" s="567" t="s">
        <v>1024</v>
      </c>
      <c r="C26" s="416">
        <v>700000000</v>
      </c>
      <c r="D26" s="416">
        <v>43153401</v>
      </c>
      <c r="E26" s="416">
        <f>F26+G26</f>
        <v>656846599</v>
      </c>
      <c r="F26" s="32">
        <v>643444972</v>
      </c>
      <c r="G26" s="32">
        <v>13401627</v>
      </c>
      <c r="H26" s="30" t="s">
        <v>1025</v>
      </c>
    </row>
    <row r="27" spans="1:8" s="412" customFormat="1" ht="31.5">
      <c r="A27" s="560" t="s">
        <v>32</v>
      </c>
      <c r="B27" s="567" t="s">
        <v>1026</v>
      </c>
      <c r="C27" s="416">
        <f>E27</f>
        <v>450000000</v>
      </c>
      <c r="D27" s="416">
        <v>0</v>
      </c>
      <c r="E27" s="416">
        <f>F27+G27</f>
        <v>450000000</v>
      </c>
      <c r="F27" s="32">
        <v>436500000</v>
      </c>
      <c r="G27" s="32">
        <v>13500000</v>
      </c>
      <c r="H27" s="30" t="s">
        <v>596</v>
      </c>
    </row>
    <row r="28" spans="1:8" s="412" customFormat="1">
      <c r="A28" s="560" t="s">
        <v>32</v>
      </c>
      <c r="B28" s="567" t="s">
        <v>1027</v>
      </c>
      <c r="C28" s="416">
        <f>E28</f>
        <v>260290850</v>
      </c>
      <c r="D28" s="416"/>
      <c r="E28" s="416">
        <f>F28+G28</f>
        <v>260290850</v>
      </c>
      <c r="F28" s="32">
        <v>260290850</v>
      </c>
      <c r="G28" s="32">
        <v>0</v>
      </c>
      <c r="H28" s="30" t="s">
        <v>592</v>
      </c>
    </row>
    <row r="29" spans="1:8" s="623" customFormat="1">
      <c r="A29" s="74" t="s">
        <v>253</v>
      </c>
      <c r="B29" s="76" t="s">
        <v>251</v>
      </c>
      <c r="C29" s="631">
        <f>C30+C32</f>
        <v>2846677255</v>
      </c>
      <c r="D29" s="629"/>
      <c r="E29" s="631">
        <f>+E30+E32</f>
        <v>2846677255</v>
      </c>
      <c r="F29" s="631">
        <f>+F30+F32</f>
        <v>2749227255</v>
      </c>
      <c r="G29" s="631">
        <f>+G30+G32</f>
        <v>97450000</v>
      </c>
      <c r="H29" s="76"/>
    </row>
    <row r="30" spans="1:8" s="131" customFormat="1" ht="31.5">
      <c r="A30" s="128">
        <v>1</v>
      </c>
      <c r="B30" s="68" t="s">
        <v>204</v>
      </c>
      <c r="C30" s="272">
        <f>C31</f>
        <v>307669055</v>
      </c>
      <c r="D30" s="632"/>
      <c r="E30" s="272">
        <f>E31</f>
        <v>307669055</v>
      </c>
      <c r="F30" s="272">
        <f>F31</f>
        <v>307669055</v>
      </c>
      <c r="G30" s="272">
        <f>G31</f>
        <v>0</v>
      </c>
      <c r="H30" s="66"/>
    </row>
    <row r="31" spans="1:8" s="131" customFormat="1" ht="31.5">
      <c r="A31" s="132" t="s">
        <v>32</v>
      </c>
      <c r="B31" s="271" t="s">
        <v>1028</v>
      </c>
      <c r="C31" s="272">
        <f>E31</f>
        <v>307669055</v>
      </c>
      <c r="D31" s="632"/>
      <c r="E31" s="272">
        <f>SUM(F31:G31)</f>
        <v>307669055</v>
      </c>
      <c r="F31" s="272">
        <v>307669055</v>
      </c>
      <c r="G31" s="272"/>
      <c r="H31" s="66" t="s">
        <v>413</v>
      </c>
    </row>
    <row r="32" spans="1:8" s="131" customFormat="1" ht="31.5">
      <c r="A32" s="132">
        <v>2</v>
      </c>
      <c r="B32" s="66" t="s">
        <v>1022</v>
      </c>
      <c r="C32" s="272">
        <f>SUM(C33:C37)</f>
        <v>2539008200</v>
      </c>
      <c r="D32" s="632"/>
      <c r="E32" s="272">
        <f>SUM(E33:E37)</f>
        <v>2539008200</v>
      </c>
      <c r="F32" s="272">
        <f t="shared" ref="F32:G32" si="7">SUM(F33:F37)</f>
        <v>2441558200</v>
      </c>
      <c r="G32" s="272">
        <f t="shared" si="7"/>
        <v>97450000</v>
      </c>
      <c r="H32" s="66"/>
    </row>
    <row r="33" spans="1:8" s="622" customFormat="1" ht="31.5">
      <c r="A33" s="560" t="s">
        <v>32</v>
      </c>
      <c r="B33" s="71" t="s">
        <v>403</v>
      </c>
      <c r="C33" s="416">
        <f>E33</f>
        <v>411971400</v>
      </c>
      <c r="D33" s="51"/>
      <c r="E33" s="51">
        <f t="shared" ref="E33" si="8">SUM(F33:G33)</f>
        <v>411971400</v>
      </c>
      <c r="F33" s="51">
        <v>411971400</v>
      </c>
      <c r="G33" s="51"/>
      <c r="H33" s="30" t="s">
        <v>1029</v>
      </c>
    </row>
    <row r="34" spans="1:8" s="622" customFormat="1" ht="31.5">
      <c r="A34" s="560" t="s">
        <v>32</v>
      </c>
      <c r="B34" s="71" t="s">
        <v>1030</v>
      </c>
      <c r="C34" s="416">
        <f>E34</f>
        <v>450000000</v>
      </c>
      <c r="D34" s="51"/>
      <c r="E34" s="51">
        <f>SUM(F34:G34)</f>
        <v>450000000</v>
      </c>
      <c r="F34" s="51">
        <v>436500000</v>
      </c>
      <c r="G34" s="51">
        <v>13500000</v>
      </c>
      <c r="H34" s="30" t="s">
        <v>405</v>
      </c>
    </row>
    <row r="35" spans="1:8" s="622" customFormat="1" ht="31.5">
      <c r="A35" s="560" t="s">
        <v>32</v>
      </c>
      <c r="B35" s="71" t="s">
        <v>1030</v>
      </c>
      <c r="C35" s="416">
        <f>E35</f>
        <v>700000000</v>
      </c>
      <c r="D35" s="51"/>
      <c r="E35" s="51">
        <f>SUM(F35:G35)</f>
        <v>700000000</v>
      </c>
      <c r="F35" s="51">
        <v>665000000</v>
      </c>
      <c r="G35" s="51">
        <v>35000000</v>
      </c>
      <c r="H35" s="30" t="s">
        <v>1031</v>
      </c>
    </row>
    <row r="36" spans="1:8" s="622" customFormat="1" ht="31.5">
      <c r="A36" s="560" t="s">
        <v>32</v>
      </c>
      <c r="B36" s="71" t="s">
        <v>1032</v>
      </c>
      <c r="C36" s="416">
        <f>E36</f>
        <v>317036800</v>
      </c>
      <c r="D36" s="51"/>
      <c r="E36" s="51">
        <f>SUM(F36:G36)</f>
        <v>317036800</v>
      </c>
      <c r="F36" s="51">
        <v>308086800</v>
      </c>
      <c r="G36" s="51">
        <v>8950000</v>
      </c>
      <c r="H36" s="30" t="s">
        <v>1033</v>
      </c>
    </row>
    <row r="37" spans="1:8" s="622" customFormat="1" ht="31.5">
      <c r="A37" s="560" t="s">
        <v>32</v>
      </c>
      <c r="B37" s="71" t="s">
        <v>1034</v>
      </c>
      <c r="C37" s="416">
        <f>E37</f>
        <v>660000000</v>
      </c>
      <c r="D37" s="51"/>
      <c r="E37" s="51">
        <f>SUM(F37:G37)</f>
        <v>660000000</v>
      </c>
      <c r="F37" s="51">
        <v>620000000</v>
      </c>
      <c r="G37" s="51">
        <v>40000000</v>
      </c>
      <c r="H37" s="30" t="s">
        <v>1033</v>
      </c>
    </row>
    <row r="38" spans="1:8" s="623" customFormat="1">
      <c r="A38" s="74" t="s">
        <v>262</v>
      </c>
      <c r="B38" s="76" t="s">
        <v>193</v>
      </c>
      <c r="C38" s="631">
        <f>C39</f>
        <v>475883050</v>
      </c>
      <c r="D38" s="631">
        <f t="shared" ref="D38:G38" si="9">D39</f>
        <v>0</v>
      </c>
      <c r="E38" s="631">
        <f t="shared" si="9"/>
        <v>475883050</v>
      </c>
      <c r="F38" s="631">
        <f t="shared" si="9"/>
        <v>450019050</v>
      </c>
      <c r="G38" s="631">
        <f t="shared" si="9"/>
        <v>25864000</v>
      </c>
      <c r="H38" s="76"/>
    </row>
    <row r="39" spans="1:8" s="235" customFormat="1">
      <c r="A39" s="560">
        <v>1</v>
      </c>
      <c r="B39" s="71" t="s">
        <v>749</v>
      </c>
      <c r="C39" s="416">
        <f>SUM(C40:C41)</f>
        <v>475883050</v>
      </c>
      <c r="D39" s="51">
        <f t="shared" ref="D39:G39" si="10">SUM(D40:D41)</f>
        <v>0</v>
      </c>
      <c r="E39" s="51">
        <f t="shared" si="10"/>
        <v>475883050</v>
      </c>
      <c r="F39" s="51">
        <f t="shared" si="10"/>
        <v>450019050</v>
      </c>
      <c r="G39" s="51">
        <f t="shared" si="10"/>
        <v>25864000</v>
      </c>
      <c r="H39" s="30"/>
    </row>
    <row r="40" spans="1:8" s="412" customFormat="1">
      <c r="A40" s="560" t="s">
        <v>32</v>
      </c>
      <c r="B40" s="71" t="s">
        <v>1035</v>
      </c>
      <c r="C40" s="416">
        <v>300000000</v>
      </c>
      <c r="D40" s="51"/>
      <c r="E40" s="51">
        <f>F40+G40</f>
        <v>300000000</v>
      </c>
      <c r="F40" s="51">
        <v>300000000</v>
      </c>
      <c r="G40" s="51"/>
      <c r="H40" s="30" t="s">
        <v>729</v>
      </c>
    </row>
    <row r="41" spans="1:8" s="412" customFormat="1">
      <c r="A41" s="560" t="s">
        <v>32</v>
      </c>
      <c r="B41" s="71" t="s">
        <v>1036</v>
      </c>
      <c r="C41" s="416">
        <v>175883050</v>
      </c>
      <c r="D41" s="51"/>
      <c r="E41" s="51">
        <f>F41+G41</f>
        <v>175883050</v>
      </c>
      <c r="F41" s="51">
        <v>150019050</v>
      </c>
      <c r="G41" s="51">
        <v>25864000</v>
      </c>
      <c r="H41" s="30" t="s">
        <v>920</v>
      </c>
    </row>
    <row r="42" spans="1:8" s="623" customFormat="1">
      <c r="A42" s="74" t="s">
        <v>281</v>
      </c>
      <c r="B42" s="76" t="s">
        <v>992</v>
      </c>
      <c r="C42" s="631">
        <f>C43</f>
        <v>4056805008</v>
      </c>
      <c r="D42" s="631">
        <f t="shared" ref="D42:G42" si="11">D43</f>
        <v>0</v>
      </c>
      <c r="E42" s="631">
        <f t="shared" si="11"/>
        <v>4056805008</v>
      </c>
      <c r="F42" s="631">
        <f t="shared" si="11"/>
        <v>4025449338</v>
      </c>
      <c r="G42" s="631">
        <f t="shared" si="11"/>
        <v>31355670</v>
      </c>
      <c r="H42" s="76"/>
    </row>
    <row r="43" spans="1:8" s="131" customFormat="1" ht="31.5">
      <c r="A43" s="128">
        <v>1</v>
      </c>
      <c r="B43" s="68" t="s">
        <v>204</v>
      </c>
      <c r="C43" s="272">
        <f>SUM(C44:C50)</f>
        <v>4056805008</v>
      </c>
      <c r="D43" s="632"/>
      <c r="E43" s="272">
        <f>SUM(E44:E50)</f>
        <v>4056805008</v>
      </c>
      <c r="F43" s="272">
        <f>SUM(F44:F50)</f>
        <v>4025449338</v>
      </c>
      <c r="G43" s="272">
        <f>SUM(G44:G50)</f>
        <v>31355670</v>
      </c>
      <c r="H43" s="66"/>
    </row>
    <row r="44" spans="1:8" s="131" customFormat="1">
      <c r="A44" s="128"/>
      <c r="B44" s="625" t="s">
        <v>1037</v>
      </c>
      <c r="C44" s="416">
        <f>E44</f>
        <v>600000000</v>
      </c>
      <c r="D44" s="416"/>
      <c r="E44" s="416">
        <f>F44+G44</f>
        <v>600000000</v>
      </c>
      <c r="F44" s="416">
        <v>600000000</v>
      </c>
      <c r="G44" s="416"/>
      <c r="H44" s="30" t="s">
        <v>1038</v>
      </c>
    </row>
    <row r="45" spans="1:8" s="131" customFormat="1">
      <c r="A45" s="50" t="s">
        <v>32</v>
      </c>
      <c r="B45" s="625" t="s">
        <v>1039</v>
      </c>
      <c r="C45" s="416">
        <f>E45</f>
        <v>220000000</v>
      </c>
      <c r="D45" s="416"/>
      <c r="E45" s="416">
        <f t="shared" ref="E45" si="12">F45+G45</f>
        <v>220000000</v>
      </c>
      <c r="F45" s="416">
        <f>220000000-G45</f>
        <v>213244330</v>
      </c>
      <c r="G45" s="416">
        <v>6755670</v>
      </c>
      <c r="H45" s="417" t="s">
        <v>1040</v>
      </c>
    </row>
    <row r="46" spans="1:8" s="131" customFormat="1">
      <c r="A46" s="50" t="s">
        <v>32</v>
      </c>
      <c r="B46" s="625" t="s">
        <v>1039</v>
      </c>
      <c r="C46" s="416">
        <f>E46</f>
        <v>300000000</v>
      </c>
      <c r="D46" s="416"/>
      <c r="E46" s="416">
        <f>F46+G46</f>
        <v>300000000</v>
      </c>
      <c r="F46" s="416">
        <v>300000000</v>
      </c>
      <c r="G46" s="416"/>
      <c r="H46" s="417" t="s">
        <v>1041</v>
      </c>
    </row>
    <row r="47" spans="1:8" s="131" customFormat="1">
      <c r="A47" s="50" t="s">
        <v>32</v>
      </c>
      <c r="B47" s="625" t="s">
        <v>1039</v>
      </c>
      <c r="C47" s="416">
        <f>E47</f>
        <v>420000000</v>
      </c>
      <c r="D47" s="416"/>
      <c r="E47" s="416">
        <f>F47+G47</f>
        <v>420000000</v>
      </c>
      <c r="F47" s="416">
        <v>420000000</v>
      </c>
      <c r="G47" s="416"/>
      <c r="H47" s="417" t="s">
        <v>1042</v>
      </c>
    </row>
    <row r="48" spans="1:8" s="131" customFormat="1">
      <c r="A48" s="50" t="s">
        <v>32</v>
      </c>
      <c r="B48" s="625" t="s">
        <v>1043</v>
      </c>
      <c r="C48" s="416">
        <f t="shared" ref="C48:C50" si="13">E48</f>
        <v>1574705008</v>
      </c>
      <c r="D48" s="416"/>
      <c r="E48" s="416">
        <f t="shared" ref="E48:E50" si="14">F48+G48</f>
        <v>1574705008</v>
      </c>
      <c r="F48" s="416">
        <f>1670000000-107294992</f>
        <v>1562705008</v>
      </c>
      <c r="G48" s="416">
        <v>12000000</v>
      </c>
      <c r="H48" s="417" t="s">
        <v>1044</v>
      </c>
    </row>
    <row r="49" spans="1:8" s="131" customFormat="1">
      <c r="A49" s="50" t="s">
        <v>32</v>
      </c>
      <c r="B49" s="417" t="s">
        <v>1045</v>
      </c>
      <c r="C49" s="416">
        <f t="shared" si="13"/>
        <v>275000000</v>
      </c>
      <c r="D49" s="51"/>
      <c r="E49" s="416">
        <f t="shared" si="14"/>
        <v>275000000</v>
      </c>
      <c r="F49" s="416">
        <v>275000000</v>
      </c>
      <c r="G49" s="416"/>
      <c r="H49" s="417" t="s">
        <v>1044</v>
      </c>
    </row>
    <row r="50" spans="1:8" s="131" customFormat="1">
      <c r="A50" s="276" t="s">
        <v>32</v>
      </c>
      <c r="B50" s="626" t="s">
        <v>1046</v>
      </c>
      <c r="C50" s="573">
        <f t="shared" si="13"/>
        <v>667100000</v>
      </c>
      <c r="D50" s="277"/>
      <c r="E50" s="573">
        <f t="shared" si="14"/>
        <v>667100000</v>
      </c>
      <c r="F50" s="573">
        <f>641900000+12600000</f>
        <v>654500000</v>
      </c>
      <c r="G50" s="573">
        <v>12600000</v>
      </c>
      <c r="H50" s="627" t="s">
        <v>1047</v>
      </c>
    </row>
  </sheetData>
  <mergeCells count="11">
    <mergeCell ref="H13:H17"/>
    <mergeCell ref="A2:H2"/>
    <mergeCell ref="A3:H3"/>
    <mergeCell ref="A6:A8"/>
    <mergeCell ref="B6:B8"/>
    <mergeCell ref="C6:C8"/>
    <mergeCell ref="D6:D8"/>
    <mergeCell ref="E6:G6"/>
    <mergeCell ref="H6:H8"/>
    <mergeCell ref="E7:E8"/>
    <mergeCell ref="F7:G7"/>
  </mergeCells>
  <pageMargins left="0.62992125984251968" right="0.39370078740157483" top="0.43307086614173229" bottom="0.51181102362204722" header="0.31496062992125984" footer="0.31496062992125984"/>
  <pageSetup paperSize="9" scale="80" fitToHeight="0" orientation="landscape" verticalDpi="0"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sheetPr>
  <dimension ref="A1:I17"/>
  <sheetViews>
    <sheetView tabSelected="1" topLeftCell="A10" zoomScale="85" zoomScaleNormal="85" zoomScaleSheetLayoutView="95" zoomScalePageLayoutView="48" workbookViewId="0">
      <selection activeCell="F9" sqref="F9"/>
    </sheetView>
  </sheetViews>
  <sheetFormatPr defaultColWidth="9" defaultRowHeight="18.75"/>
  <cols>
    <col min="1" max="1" width="6.25" style="643" customWidth="1"/>
    <col min="2" max="2" width="31.5" style="643" customWidth="1"/>
    <col min="3" max="3" width="16.875" style="643" customWidth="1"/>
    <col min="4" max="4" width="52.375" style="643" customWidth="1"/>
    <col min="5" max="5" width="15.375" style="643" customWidth="1"/>
    <col min="6" max="6" width="17.25" style="643" customWidth="1"/>
    <col min="7" max="7" width="18.875" style="643" customWidth="1"/>
    <col min="8" max="8" width="18.5" style="643" customWidth="1"/>
    <col min="9" max="9" width="13.875" style="648" customWidth="1"/>
    <col min="10" max="12" width="20.125" style="643" customWidth="1"/>
    <col min="13" max="16384" width="9" style="643"/>
  </cols>
  <sheetData>
    <row r="1" spans="1:9" s="649" customFormat="1" ht="22.5" customHeight="1">
      <c r="A1" s="733" t="s">
        <v>1074</v>
      </c>
      <c r="B1" s="733"/>
      <c r="C1" s="733"/>
      <c r="D1" s="733"/>
      <c r="E1" s="733"/>
      <c r="F1" s="733"/>
      <c r="G1" s="733"/>
      <c r="H1" s="733"/>
      <c r="I1" s="733"/>
    </row>
    <row r="2" spans="1:9" s="649" customFormat="1" ht="30" customHeight="1">
      <c r="A2" s="734" t="s">
        <v>1091</v>
      </c>
      <c r="B2" s="734"/>
      <c r="C2" s="734"/>
      <c r="D2" s="734"/>
      <c r="E2" s="734"/>
      <c r="F2" s="734"/>
      <c r="G2" s="734"/>
      <c r="H2" s="734"/>
      <c r="I2" s="734"/>
    </row>
    <row r="3" spans="1:9" s="649" customFormat="1" ht="26.25" customHeight="1">
      <c r="A3" s="735" t="s">
        <v>1082</v>
      </c>
      <c r="B3" s="735"/>
      <c r="C3" s="735"/>
      <c r="D3" s="735"/>
      <c r="E3" s="735"/>
      <c r="F3" s="735"/>
      <c r="G3" s="735"/>
      <c r="H3" s="735"/>
      <c r="I3" s="735"/>
    </row>
    <row r="4" spans="1:9" ht="13.5" customHeight="1">
      <c r="A4" s="644"/>
      <c r="B4" s="644"/>
      <c r="C4" s="644"/>
      <c r="D4" s="644"/>
      <c r="E4" s="644"/>
      <c r="F4" s="644"/>
      <c r="G4" s="644"/>
      <c r="H4" s="644"/>
      <c r="I4" s="654"/>
    </row>
    <row r="5" spans="1:9" ht="27.75" customHeight="1">
      <c r="A5" s="736" t="s">
        <v>1</v>
      </c>
      <c r="B5" s="736" t="s">
        <v>2</v>
      </c>
      <c r="C5" s="737" t="s">
        <v>1073</v>
      </c>
      <c r="D5" s="737" t="s">
        <v>1067</v>
      </c>
      <c r="E5" s="740" t="s">
        <v>1068</v>
      </c>
      <c r="F5" s="743" t="s">
        <v>1069</v>
      </c>
      <c r="G5" s="746" t="s">
        <v>1070</v>
      </c>
      <c r="H5" s="746"/>
      <c r="I5" s="737" t="s">
        <v>380</v>
      </c>
    </row>
    <row r="6" spans="1:9" ht="27.75" customHeight="1">
      <c r="A6" s="736"/>
      <c r="B6" s="736"/>
      <c r="C6" s="738"/>
      <c r="D6" s="738"/>
      <c r="E6" s="741"/>
      <c r="F6" s="744"/>
      <c r="G6" s="746" t="s">
        <v>1072</v>
      </c>
      <c r="H6" s="746" t="s">
        <v>1071</v>
      </c>
      <c r="I6" s="738"/>
    </row>
    <row r="7" spans="1:9" ht="38.25" customHeight="1">
      <c r="A7" s="736"/>
      <c r="B7" s="736"/>
      <c r="C7" s="739"/>
      <c r="D7" s="739"/>
      <c r="E7" s="742"/>
      <c r="F7" s="745"/>
      <c r="G7" s="746"/>
      <c r="H7" s="746"/>
      <c r="I7" s="739"/>
    </row>
    <row r="8" spans="1:9" ht="33" customHeight="1">
      <c r="A8" s="645">
        <v>1</v>
      </c>
      <c r="B8" s="646">
        <v>2</v>
      </c>
      <c r="C8" s="645">
        <v>3</v>
      </c>
      <c r="D8" s="646">
        <v>4</v>
      </c>
      <c r="E8" s="645">
        <v>5</v>
      </c>
      <c r="F8" s="646">
        <v>6</v>
      </c>
      <c r="G8" s="645">
        <v>7</v>
      </c>
      <c r="H8" s="646">
        <v>8</v>
      </c>
      <c r="I8" s="645">
        <v>9</v>
      </c>
    </row>
    <row r="9" spans="1:9" ht="60" customHeight="1">
      <c r="A9" s="659" t="s">
        <v>8</v>
      </c>
      <c r="B9" s="660" t="s">
        <v>1075</v>
      </c>
      <c r="C9" s="661"/>
      <c r="D9" s="661"/>
      <c r="E9" s="661"/>
      <c r="F9" s="661"/>
      <c r="G9" s="661"/>
      <c r="H9" s="661"/>
      <c r="I9" s="659"/>
    </row>
    <row r="10" spans="1:9" ht="60" customHeight="1">
      <c r="A10" s="651" t="s">
        <v>28</v>
      </c>
      <c r="B10" s="652" t="s">
        <v>1076</v>
      </c>
      <c r="C10" s="653"/>
      <c r="D10" s="653"/>
      <c r="E10" s="653"/>
      <c r="F10" s="653"/>
      <c r="G10" s="653"/>
      <c r="H10" s="653"/>
      <c r="I10" s="651"/>
    </row>
    <row r="11" spans="1:9" s="658" customFormat="1" ht="90" customHeight="1">
      <c r="A11" s="655"/>
      <c r="B11" s="663" t="s">
        <v>1077</v>
      </c>
      <c r="C11" s="656"/>
      <c r="D11" s="656"/>
      <c r="E11" s="656"/>
      <c r="F11" s="653">
        <f>SUM(F12:F15)</f>
        <v>1500000000</v>
      </c>
      <c r="G11" s="653">
        <f t="shared" ref="G11:H11" si="0">SUM(G12:G15)</f>
        <v>1455000000</v>
      </c>
      <c r="H11" s="653">
        <f t="shared" si="0"/>
        <v>45000000</v>
      </c>
      <c r="I11" s="657"/>
    </row>
    <row r="12" spans="1:9" s="658" customFormat="1" ht="71.25" customHeight="1">
      <c r="A12" s="650">
        <v>1</v>
      </c>
      <c r="B12" s="664" t="s">
        <v>1078</v>
      </c>
      <c r="C12" s="665" t="s">
        <v>1083</v>
      </c>
      <c r="D12" s="665" t="s">
        <v>1086</v>
      </c>
      <c r="E12" s="665" t="s">
        <v>1081</v>
      </c>
      <c r="F12" s="666">
        <v>490000000</v>
      </c>
      <c r="G12" s="666">
        <f>+F12-H12</f>
        <v>475300000</v>
      </c>
      <c r="H12" s="666">
        <v>14700000</v>
      </c>
      <c r="I12" s="667"/>
    </row>
    <row r="13" spans="1:9" s="658" customFormat="1" ht="88.5" customHeight="1">
      <c r="A13" s="650">
        <v>2</v>
      </c>
      <c r="B13" s="664" t="s">
        <v>1079</v>
      </c>
      <c r="C13" s="665" t="s">
        <v>1084</v>
      </c>
      <c r="D13" s="665" t="s">
        <v>1087</v>
      </c>
      <c r="E13" s="665" t="s">
        <v>1081</v>
      </c>
      <c r="F13" s="666">
        <v>480000000</v>
      </c>
      <c r="G13" s="666">
        <f t="shared" ref="G13:G14" si="1">+F13-H13</f>
        <v>465600000</v>
      </c>
      <c r="H13" s="666">
        <v>14400000</v>
      </c>
      <c r="I13" s="667"/>
    </row>
    <row r="14" spans="1:9" s="658" customFormat="1" ht="123" customHeight="1">
      <c r="A14" s="650">
        <v>3</v>
      </c>
      <c r="B14" s="664" t="s">
        <v>1080</v>
      </c>
      <c r="C14" s="665" t="s">
        <v>1085</v>
      </c>
      <c r="D14" s="665" t="s">
        <v>1088</v>
      </c>
      <c r="E14" s="665" t="s">
        <v>1081</v>
      </c>
      <c r="F14" s="666">
        <v>480000000</v>
      </c>
      <c r="G14" s="666">
        <f t="shared" si="1"/>
        <v>465600000</v>
      </c>
      <c r="H14" s="666">
        <v>14400000</v>
      </c>
      <c r="I14" s="667"/>
    </row>
    <row r="15" spans="1:9" s="658" customFormat="1" ht="50.25" customHeight="1">
      <c r="A15" s="662">
        <v>4</v>
      </c>
      <c r="B15" s="668" t="s">
        <v>1090</v>
      </c>
      <c r="C15" s="669" t="s">
        <v>1084</v>
      </c>
      <c r="D15" s="669" t="s">
        <v>1089</v>
      </c>
      <c r="E15" s="669" t="s">
        <v>1081</v>
      </c>
      <c r="F15" s="670">
        <v>50000000</v>
      </c>
      <c r="G15" s="670">
        <f>+F15-H15</f>
        <v>48500000</v>
      </c>
      <c r="H15" s="670">
        <v>1500000</v>
      </c>
      <c r="I15" s="671"/>
    </row>
    <row r="17" spans="1:1">
      <c r="A17" s="647"/>
    </row>
  </sheetData>
  <mergeCells count="13">
    <mergeCell ref="A1:I1"/>
    <mergeCell ref="A2:I2"/>
    <mergeCell ref="A3:I3"/>
    <mergeCell ref="A5:A7"/>
    <mergeCell ref="B5:B7"/>
    <mergeCell ref="I5:I7"/>
    <mergeCell ref="C5:C7"/>
    <mergeCell ref="D5:D7"/>
    <mergeCell ref="E5:E7"/>
    <mergeCell ref="F5:F7"/>
    <mergeCell ref="G5:H5"/>
    <mergeCell ref="G6:G7"/>
    <mergeCell ref="H6:H7"/>
  </mergeCells>
  <pageMargins left="0.43307086614173229" right="7.874015748031496E-2" top="0.51" bottom="0.37" header="0.31496062992125984" footer="0.35433070866141736"/>
  <pageSetup paperSize="8" fitToHeight="0" orientation="landscape"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J158"/>
  <sheetViews>
    <sheetView zoomScaleNormal="100" workbookViewId="0">
      <selection activeCell="E12" sqref="E12"/>
    </sheetView>
  </sheetViews>
  <sheetFormatPr defaultColWidth="9" defaultRowHeight="15.75"/>
  <cols>
    <col min="1" max="1" width="6.375" style="86" customWidth="1"/>
    <col min="2" max="2" width="33.5" style="117" customWidth="1"/>
    <col min="3" max="7" width="17.5" style="500" customWidth="1"/>
    <col min="8" max="8" width="20.5" style="89" customWidth="1"/>
    <col min="9" max="9" width="77.75" style="117" customWidth="1"/>
    <col min="10" max="10" width="15.5" style="501" customWidth="1"/>
    <col min="11" max="16384" width="9" style="86"/>
  </cols>
  <sheetData>
    <row r="1" spans="1:9" ht="24" customHeight="1">
      <c r="I1" s="55" t="s">
        <v>83</v>
      </c>
    </row>
    <row r="2" spans="1:9" ht="39" customHeight="1">
      <c r="A2" s="676" t="s">
        <v>198</v>
      </c>
      <c r="B2" s="676"/>
      <c r="C2" s="676"/>
      <c r="D2" s="676"/>
      <c r="E2" s="676"/>
      <c r="F2" s="676"/>
      <c r="G2" s="676"/>
      <c r="H2" s="676"/>
      <c r="I2" s="676"/>
    </row>
    <row r="3" spans="1:9">
      <c r="A3" s="678" t="s">
        <v>199</v>
      </c>
      <c r="B3" s="678"/>
      <c r="C3" s="678"/>
      <c r="D3" s="678"/>
      <c r="E3" s="678"/>
      <c r="F3" s="678"/>
      <c r="G3" s="678"/>
      <c r="H3" s="678"/>
      <c r="I3" s="678"/>
    </row>
    <row r="4" spans="1:9">
      <c r="A4" s="502"/>
      <c r="B4" s="502"/>
      <c r="C4" s="502"/>
      <c r="D4" s="502"/>
      <c r="E4" s="502"/>
      <c r="F4" s="502"/>
      <c r="G4" s="502"/>
      <c r="H4" s="502"/>
      <c r="I4" s="502"/>
    </row>
    <row r="5" spans="1:9">
      <c r="I5" s="56" t="s">
        <v>23</v>
      </c>
    </row>
    <row r="6" spans="1:9" ht="34.5" customHeight="1">
      <c r="A6" s="673" t="s">
        <v>1</v>
      </c>
      <c r="B6" s="686" t="s">
        <v>200</v>
      </c>
      <c r="C6" s="689" t="s">
        <v>201</v>
      </c>
      <c r="D6" s="690"/>
      <c r="E6" s="691"/>
      <c r="F6" s="673" t="s">
        <v>925</v>
      </c>
      <c r="G6" s="673" t="s">
        <v>926</v>
      </c>
      <c r="H6" s="673" t="s">
        <v>88</v>
      </c>
      <c r="I6" s="673" t="s">
        <v>79</v>
      </c>
    </row>
    <row r="7" spans="1:9" ht="21" customHeight="1">
      <c r="A7" s="674"/>
      <c r="B7" s="687"/>
      <c r="C7" s="692" t="s">
        <v>10</v>
      </c>
      <c r="D7" s="689" t="s">
        <v>11</v>
      </c>
      <c r="E7" s="691"/>
      <c r="F7" s="674"/>
      <c r="G7" s="674"/>
      <c r="H7" s="674"/>
      <c r="I7" s="674"/>
    </row>
    <row r="8" spans="1:9" ht="34.15" customHeight="1">
      <c r="A8" s="675"/>
      <c r="B8" s="688"/>
      <c r="C8" s="693"/>
      <c r="D8" s="503" t="str">
        <f>'PL1-TH dư nguồn DTTS'!D8</f>
        <v>Ngân sách trung ương</v>
      </c>
      <c r="E8" s="503" t="str">
        <f>'PL1-TH dư nguồn DTTS'!E8</f>
        <v>Ngân sách địa phương</v>
      </c>
      <c r="F8" s="675"/>
      <c r="G8" s="675"/>
      <c r="H8" s="675"/>
      <c r="I8" s="675"/>
    </row>
    <row r="9" spans="1:9" s="119" customFormat="1" ht="24.75" customHeight="1">
      <c r="A9" s="685" t="s">
        <v>25</v>
      </c>
      <c r="B9" s="685"/>
      <c r="C9" s="433">
        <f>C30+C41</f>
        <v>36049455488</v>
      </c>
      <c r="D9" s="433">
        <f>D30+D41</f>
        <v>35011726893</v>
      </c>
      <c r="E9" s="433">
        <f>E30+E41</f>
        <v>1037728595</v>
      </c>
      <c r="F9" s="433">
        <f t="shared" ref="F9" si="0">F30+F41</f>
        <v>16749499445</v>
      </c>
      <c r="G9" s="433">
        <f>G30+G41</f>
        <v>19299956043</v>
      </c>
      <c r="H9" s="434"/>
      <c r="I9" s="435"/>
    </row>
    <row r="10" spans="1:9" s="119" customFormat="1" ht="24" customHeight="1">
      <c r="A10" s="436" t="s">
        <v>8</v>
      </c>
      <c r="B10" s="437" t="s">
        <v>202</v>
      </c>
      <c r="C10" s="438">
        <f>C11+C12+C13+C16+C23+C26+C22</f>
        <v>36049455488</v>
      </c>
      <c r="D10" s="438">
        <f t="shared" ref="D10:G10" si="1">D11+D12+D13+D16+D23+D26+D22</f>
        <v>35011726893</v>
      </c>
      <c r="E10" s="438">
        <f t="shared" si="1"/>
        <v>1037728595</v>
      </c>
      <c r="F10" s="438">
        <f>F11+F12+F13+F16+F23+F26+F22</f>
        <v>16749499445</v>
      </c>
      <c r="G10" s="438">
        <f t="shared" si="1"/>
        <v>19299956043</v>
      </c>
      <c r="H10" s="436"/>
      <c r="I10" s="439"/>
    </row>
    <row r="11" spans="1:9" s="118" customFormat="1" ht="49.5" customHeight="1">
      <c r="A11" s="440">
        <v>1</v>
      </c>
      <c r="B11" s="441" t="s">
        <v>203</v>
      </c>
      <c r="C11" s="442">
        <f>C59</f>
        <v>343905794</v>
      </c>
      <c r="D11" s="442">
        <f t="shared" ref="D11:G11" si="2">D59</f>
        <v>343905794</v>
      </c>
      <c r="E11" s="442">
        <f t="shared" si="2"/>
        <v>0</v>
      </c>
      <c r="F11" s="442">
        <f t="shared" si="2"/>
        <v>0</v>
      </c>
      <c r="G11" s="442">
        <f t="shared" si="2"/>
        <v>343905794</v>
      </c>
      <c r="H11" s="442"/>
      <c r="I11" s="443" t="s">
        <v>135</v>
      </c>
    </row>
    <row r="12" spans="1:9" s="118" customFormat="1" ht="89.25" customHeight="1">
      <c r="A12" s="125">
        <v>2</v>
      </c>
      <c r="B12" s="216" t="s">
        <v>204</v>
      </c>
      <c r="C12" s="135">
        <f>C32+C60+C75+C86+C125+C98+C137</f>
        <v>4686074300</v>
      </c>
      <c r="D12" s="135">
        <f t="shared" ref="D12:G12" si="3">D32+D60+D75+D86+D125+D98+D137</f>
        <v>4478729295</v>
      </c>
      <c r="E12" s="135">
        <f t="shared" si="3"/>
        <v>207345005</v>
      </c>
      <c r="F12" s="135">
        <f t="shared" si="3"/>
        <v>3324500694</v>
      </c>
      <c r="G12" s="135">
        <f t="shared" si="3"/>
        <v>1361573606</v>
      </c>
      <c r="H12" s="125"/>
      <c r="I12" s="216" t="s">
        <v>205</v>
      </c>
    </row>
    <row r="13" spans="1:9" s="118" customFormat="1" ht="31.5">
      <c r="A13" s="125">
        <v>3</v>
      </c>
      <c r="B13" s="216" t="s">
        <v>206</v>
      </c>
      <c r="C13" s="135">
        <f>C14+C15</f>
        <v>2198260349</v>
      </c>
      <c r="D13" s="135">
        <f t="shared" ref="D13:G13" si="4">D14+D15</f>
        <v>2150330759</v>
      </c>
      <c r="E13" s="135">
        <f t="shared" si="4"/>
        <v>47929590</v>
      </c>
      <c r="F13" s="135">
        <f t="shared" si="4"/>
        <v>320041127</v>
      </c>
      <c r="G13" s="135">
        <f t="shared" si="4"/>
        <v>1878219222</v>
      </c>
      <c r="H13" s="125"/>
      <c r="I13" s="126"/>
    </row>
    <row r="14" spans="1:9" s="118" customFormat="1" ht="43.5" customHeight="1">
      <c r="A14" s="127" t="s">
        <v>32</v>
      </c>
      <c r="B14" s="216" t="s">
        <v>207</v>
      </c>
      <c r="C14" s="135">
        <f>C62+C104+C139</f>
        <v>810965943</v>
      </c>
      <c r="D14" s="135">
        <f t="shared" ref="D14:G14" si="5">D62+D104+D139</f>
        <v>794336353</v>
      </c>
      <c r="E14" s="135">
        <f t="shared" si="5"/>
        <v>16629590</v>
      </c>
      <c r="F14" s="135">
        <f t="shared" si="5"/>
        <v>19913503</v>
      </c>
      <c r="G14" s="135">
        <f t="shared" si="5"/>
        <v>791052440</v>
      </c>
      <c r="H14" s="125"/>
      <c r="I14" s="126" t="s">
        <v>208</v>
      </c>
    </row>
    <row r="15" spans="1:9" s="118" customFormat="1" ht="25.5" customHeight="1">
      <c r="A15" s="127" t="s">
        <v>32</v>
      </c>
      <c r="B15" s="216" t="s">
        <v>209</v>
      </c>
      <c r="C15" s="135">
        <f>C45+C88+C127+C148+C155+C140</f>
        <v>1387294406</v>
      </c>
      <c r="D15" s="135">
        <f t="shared" ref="D15:G15" si="6">D45+D88+D127+D148+D155+D140</f>
        <v>1355994406</v>
      </c>
      <c r="E15" s="135">
        <f t="shared" si="6"/>
        <v>31300000</v>
      </c>
      <c r="F15" s="135">
        <f t="shared" si="6"/>
        <v>300127624</v>
      </c>
      <c r="G15" s="135">
        <f t="shared" si="6"/>
        <v>1087166782</v>
      </c>
      <c r="H15" s="125"/>
      <c r="I15" s="126" t="s">
        <v>210</v>
      </c>
    </row>
    <row r="16" spans="1:9" s="118" customFormat="1" ht="31.5">
      <c r="A16" s="125">
        <v>4</v>
      </c>
      <c r="B16" s="216" t="s">
        <v>211</v>
      </c>
      <c r="C16" s="135">
        <f>C17+C20+C21</f>
        <v>27198242850</v>
      </c>
      <c r="D16" s="135">
        <f t="shared" ref="D16:G16" si="7">D17+D20+D21</f>
        <v>26463242850</v>
      </c>
      <c r="E16" s="135">
        <f t="shared" si="7"/>
        <v>735000000</v>
      </c>
      <c r="F16" s="135">
        <f t="shared" si="7"/>
        <v>11519020024</v>
      </c>
      <c r="G16" s="135">
        <f t="shared" si="7"/>
        <v>15679222826</v>
      </c>
      <c r="H16" s="125"/>
      <c r="I16" s="126"/>
    </row>
    <row r="17" spans="1:9" s="118" customFormat="1" ht="31.5">
      <c r="A17" s="127" t="s">
        <v>32</v>
      </c>
      <c r="B17" s="216" t="s">
        <v>212</v>
      </c>
      <c r="C17" s="135">
        <f>C18+C19</f>
        <v>25149344500</v>
      </c>
      <c r="D17" s="135">
        <f t="shared" ref="D17:G17" si="8">D18+D19</f>
        <v>24442344500</v>
      </c>
      <c r="E17" s="135">
        <f t="shared" si="8"/>
        <v>707000000</v>
      </c>
      <c r="F17" s="135">
        <f t="shared" si="8"/>
        <v>10801957174</v>
      </c>
      <c r="G17" s="135">
        <f t="shared" si="8"/>
        <v>14347387326</v>
      </c>
      <c r="H17" s="125"/>
      <c r="I17" s="126"/>
    </row>
    <row r="18" spans="1:9" s="124" customFormat="1" ht="63">
      <c r="A18" s="121" t="s">
        <v>213</v>
      </c>
      <c r="B18" s="122" t="s">
        <v>214</v>
      </c>
      <c r="C18" s="80">
        <f>C49+C55+C78+C91+C130+C151+C158+C135+C100+C108+C116</f>
        <v>13394965161</v>
      </c>
      <c r="D18" s="80">
        <f t="shared" ref="D18:G18" si="9">D49+D55+D78+D91+D130+D151+D158+D135+D100+D108+D116</f>
        <v>13009965161</v>
      </c>
      <c r="E18" s="80">
        <f t="shared" si="9"/>
        <v>385000000</v>
      </c>
      <c r="F18" s="80">
        <f t="shared" si="9"/>
        <v>6878923174</v>
      </c>
      <c r="G18" s="80">
        <f t="shared" si="9"/>
        <v>6516041987</v>
      </c>
      <c r="H18" s="83"/>
      <c r="I18" s="126" t="s">
        <v>215</v>
      </c>
    </row>
    <row r="19" spans="1:9" s="124" customFormat="1" ht="99" customHeight="1">
      <c r="A19" s="121" t="s">
        <v>213</v>
      </c>
      <c r="B19" s="122" t="s">
        <v>216</v>
      </c>
      <c r="C19" s="80">
        <f>C48+C56+C65+C92+C131+C107+C142</f>
        <v>11754379339</v>
      </c>
      <c r="D19" s="80">
        <f t="shared" ref="D19:G19" si="10">D48+D56+D65+D92+D131+D107+D142</f>
        <v>11432379339</v>
      </c>
      <c r="E19" s="80">
        <f t="shared" si="10"/>
        <v>322000000</v>
      </c>
      <c r="F19" s="80">
        <f t="shared" si="10"/>
        <v>3923034000</v>
      </c>
      <c r="G19" s="80">
        <f t="shared" si="10"/>
        <v>7831345339</v>
      </c>
      <c r="H19" s="83"/>
      <c r="I19" s="126" t="s">
        <v>217</v>
      </c>
    </row>
    <row r="20" spans="1:9" s="118" customFormat="1" ht="55.5" customHeight="1">
      <c r="A20" s="125" t="s">
        <v>32</v>
      </c>
      <c r="B20" s="126" t="s">
        <v>218</v>
      </c>
      <c r="C20" s="135">
        <f>C66</f>
        <v>690246000</v>
      </c>
      <c r="D20" s="135">
        <f t="shared" ref="D20:G20" si="11">D66</f>
        <v>690246000</v>
      </c>
      <c r="E20" s="135">
        <f t="shared" si="11"/>
        <v>0</v>
      </c>
      <c r="F20" s="135">
        <f t="shared" si="11"/>
        <v>0</v>
      </c>
      <c r="G20" s="135">
        <f t="shared" si="11"/>
        <v>690246000</v>
      </c>
      <c r="H20" s="125"/>
      <c r="I20" s="126" t="s">
        <v>219</v>
      </c>
    </row>
    <row r="21" spans="1:9" s="118" customFormat="1" ht="31.5">
      <c r="A21" s="125" t="s">
        <v>32</v>
      </c>
      <c r="B21" s="126" t="s">
        <v>220</v>
      </c>
      <c r="C21" s="135">
        <f>C67+C79+C152+C93+C50+C117</f>
        <v>1358652350</v>
      </c>
      <c r="D21" s="135">
        <f>D67+D79+D152+D93+D50+D117</f>
        <v>1330652350</v>
      </c>
      <c r="E21" s="135">
        <f>E67+E79+E152+E93+E50+E117</f>
        <v>28000000</v>
      </c>
      <c r="F21" s="135">
        <f t="shared" ref="F21:G21" si="12">F67+F79+F152+F93+F50+F117</f>
        <v>717062850</v>
      </c>
      <c r="G21" s="135">
        <f t="shared" si="12"/>
        <v>641589500</v>
      </c>
      <c r="H21" s="444"/>
      <c r="I21" s="126" t="s">
        <v>221</v>
      </c>
    </row>
    <row r="22" spans="1:9" s="118" customFormat="1" ht="39.75" customHeight="1">
      <c r="A22" s="125">
        <v>5</v>
      </c>
      <c r="B22" s="126" t="s">
        <v>929</v>
      </c>
      <c r="C22" s="135">
        <f>C118+C111</f>
        <v>1092000000</v>
      </c>
      <c r="D22" s="135">
        <f t="shared" ref="D22:G22" si="13">D118+D111</f>
        <v>1060000000</v>
      </c>
      <c r="E22" s="135">
        <f t="shared" si="13"/>
        <v>32000000</v>
      </c>
      <c r="F22" s="135">
        <f t="shared" si="13"/>
        <v>1092000000</v>
      </c>
      <c r="G22" s="135">
        <f t="shared" si="13"/>
        <v>0</v>
      </c>
      <c r="H22" s="444"/>
      <c r="I22" s="126" t="s">
        <v>930</v>
      </c>
    </row>
    <row r="23" spans="1:9" s="118" customFormat="1" ht="31.5">
      <c r="A23" s="125">
        <v>6</v>
      </c>
      <c r="B23" s="216" t="s">
        <v>222</v>
      </c>
      <c r="C23" s="135">
        <f>C24+C25</f>
        <v>116032000</v>
      </c>
      <c r="D23" s="135">
        <f t="shared" ref="D23:G23" si="14">D24+D25</f>
        <v>115032000</v>
      </c>
      <c r="E23" s="135">
        <f t="shared" si="14"/>
        <v>1000000</v>
      </c>
      <c r="F23" s="135">
        <f t="shared" si="14"/>
        <v>90025000</v>
      </c>
      <c r="G23" s="135">
        <f t="shared" si="14"/>
        <v>26007000</v>
      </c>
      <c r="H23" s="125"/>
      <c r="I23" s="126"/>
    </row>
    <row r="24" spans="1:9" s="118" customFormat="1" ht="25.5" customHeight="1">
      <c r="A24" s="127" t="s">
        <v>32</v>
      </c>
      <c r="B24" s="216" t="s">
        <v>931</v>
      </c>
      <c r="C24" s="135">
        <f>C120+C144</f>
        <v>91025000</v>
      </c>
      <c r="D24" s="135">
        <f t="shared" ref="D24:G24" si="15">D120+D144</f>
        <v>90025000</v>
      </c>
      <c r="E24" s="135">
        <f t="shared" si="15"/>
        <v>1000000</v>
      </c>
      <c r="F24" s="135">
        <f t="shared" si="15"/>
        <v>90025000</v>
      </c>
      <c r="G24" s="135">
        <f t="shared" si="15"/>
        <v>1000000</v>
      </c>
      <c r="H24" s="125"/>
      <c r="I24" s="126" t="s">
        <v>208</v>
      </c>
    </row>
    <row r="25" spans="1:9" s="118" customFormat="1" ht="36" customHeight="1">
      <c r="A25" s="127" t="s">
        <v>32</v>
      </c>
      <c r="B25" s="216" t="s">
        <v>223</v>
      </c>
      <c r="C25" s="135">
        <f>C69+C81</f>
        <v>25007000</v>
      </c>
      <c r="D25" s="135">
        <f t="shared" ref="D25:G25" si="16">D69+D81</f>
        <v>25007000</v>
      </c>
      <c r="E25" s="135">
        <f t="shared" si="16"/>
        <v>0</v>
      </c>
      <c r="F25" s="135">
        <f t="shared" si="16"/>
        <v>0</v>
      </c>
      <c r="G25" s="135">
        <f t="shared" si="16"/>
        <v>25007000</v>
      </c>
      <c r="H25" s="125"/>
      <c r="I25" s="126" t="s">
        <v>208</v>
      </c>
    </row>
    <row r="26" spans="1:9" s="118" customFormat="1" ht="36" customHeight="1">
      <c r="A26" s="125">
        <v>7</v>
      </c>
      <c r="B26" s="216" t="s">
        <v>224</v>
      </c>
      <c r="C26" s="135">
        <f>C27+C28</f>
        <v>414940195</v>
      </c>
      <c r="D26" s="135">
        <f t="shared" ref="D26:G26" si="17">D27+D28</f>
        <v>400486195</v>
      </c>
      <c r="E26" s="135">
        <f t="shared" si="17"/>
        <v>14454000</v>
      </c>
      <c r="F26" s="135">
        <f t="shared" si="17"/>
        <v>403912600</v>
      </c>
      <c r="G26" s="135">
        <f t="shared" si="17"/>
        <v>11027595</v>
      </c>
      <c r="H26" s="125"/>
      <c r="I26" s="126"/>
    </row>
    <row r="27" spans="1:9" s="118" customFormat="1" ht="34.5" customHeight="1">
      <c r="A27" s="127" t="s">
        <v>32</v>
      </c>
      <c r="B27" s="216" t="s">
        <v>225</v>
      </c>
      <c r="C27" s="135">
        <f>C39+C71+C83+C110+C122+C95</f>
        <v>362121835</v>
      </c>
      <c r="D27" s="135">
        <f t="shared" ref="D27:G27" si="18">D39+D71+D83+D110+D122+D95</f>
        <v>349667835</v>
      </c>
      <c r="E27" s="135">
        <f t="shared" si="18"/>
        <v>12454000</v>
      </c>
      <c r="F27" s="135">
        <f t="shared" si="18"/>
        <v>351876600</v>
      </c>
      <c r="G27" s="135">
        <f t="shared" si="18"/>
        <v>10245235</v>
      </c>
      <c r="H27" s="125"/>
      <c r="I27" s="126" t="s">
        <v>208</v>
      </c>
    </row>
    <row r="28" spans="1:9" s="118" customFormat="1" ht="20.25" customHeight="1">
      <c r="A28" s="445" t="s">
        <v>32</v>
      </c>
      <c r="B28" s="446" t="s">
        <v>226</v>
      </c>
      <c r="C28" s="447">
        <f t="shared" ref="C28:G28" si="19">C40+C72+C84</f>
        <v>52818360</v>
      </c>
      <c r="D28" s="447">
        <f t="shared" si="19"/>
        <v>50818360</v>
      </c>
      <c r="E28" s="447">
        <f t="shared" si="19"/>
        <v>2000000</v>
      </c>
      <c r="F28" s="447">
        <f t="shared" si="19"/>
        <v>52036000</v>
      </c>
      <c r="G28" s="447">
        <f t="shared" si="19"/>
        <v>782360</v>
      </c>
      <c r="H28" s="448"/>
      <c r="I28" s="449" t="s">
        <v>208</v>
      </c>
    </row>
    <row r="29" spans="1:9" s="119" customFormat="1" ht="22.5" customHeight="1">
      <c r="A29" s="450" t="s">
        <v>20</v>
      </c>
      <c r="B29" s="437" t="s">
        <v>227</v>
      </c>
      <c r="C29" s="438">
        <f>C30+C41</f>
        <v>36049455488</v>
      </c>
      <c r="D29" s="438">
        <f t="shared" ref="D29:G29" si="20">D30+D41</f>
        <v>35011726893</v>
      </c>
      <c r="E29" s="438">
        <f t="shared" si="20"/>
        <v>1037728595</v>
      </c>
      <c r="F29" s="438">
        <f t="shared" si="20"/>
        <v>16749499445</v>
      </c>
      <c r="G29" s="438">
        <f t="shared" si="20"/>
        <v>19299956043</v>
      </c>
      <c r="H29" s="451"/>
      <c r="I29" s="452"/>
    </row>
    <row r="30" spans="1:9" s="119" customFormat="1" ht="29.25" customHeight="1">
      <c r="A30" s="453" t="s">
        <v>228</v>
      </c>
      <c r="B30" s="454" t="s">
        <v>229</v>
      </c>
      <c r="C30" s="455">
        <f>C31+C36</f>
        <v>3360696210</v>
      </c>
      <c r="D30" s="455">
        <f t="shared" ref="D30:G30" si="21">D31+D36</f>
        <v>3249696210</v>
      </c>
      <c r="E30" s="455">
        <f t="shared" si="21"/>
        <v>111000000</v>
      </c>
      <c r="F30" s="455">
        <f t="shared" si="21"/>
        <v>3360696210</v>
      </c>
      <c r="G30" s="455">
        <f t="shared" si="21"/>
        <v>0</v>
      </c>
      <c r="H30" s="455"/>
      <c r="I30" s="456"/>
    </row>
    <row r="31" spans="1:9" s="119" customFormat="1" ht="39" customHeight="1">
      <c r="A31" s="457" t="s">
        <v>28</v>
      </c>
      <c r="B31" s="458" t="s">
        <v>230</v>
      </c>
      <c r="C31" s="459">
        <f>C32</f>
        <v>3285170210</v>
      </c>
      <c r="D31" s="459">
        <f>D32</f>
        <v>3180170210</v>
      </c>
      <c r="E31" s="459">
        <f>E32</f>
        <v>105000000</v>
      </c>
      <c r="F31" s="459">
        <f t="shared" ref="F31:H31" si="22">F32</f>
        <v>3285170210</v>
      </c>
      <c r="G31" s="459">
        <f t="shared" si="22"/>
        <v>0</v>
      </c>
      <c r="H31" s="459" t="str">
        <f t="shared" si="22"/>
        <v>Sự nghiệp kinh tế</v>
      </c>
      <c r="I31" s="460" t="s">
        <v>231</v>
      </c>
    </row>
    <row r="32" spans="1:9" s="118" customFormat="1" ht="58.5" customHeight="1">
      <c r="A32" s="440">
        <v>1</v>
      </c>
      <c r="B32" s="443" t="s">
        <v>232</v>
      </c>
      <c r="C32" s="442">
        <f>C33+C34+C35</f>
        <v>3285170210</v>
      </c>
      <c r="D32" s="442">
        <f t="shared" ref="D32:E32" si="23">D33+D34+D35</f>
        <v>3180170210</v>
      </c>
      <c r="E32" s="442">
        <f t="shared" si="23"/>
        <v>105000000</v>
      </c>
      <c r="F32" s="442">
        <f>'[2]B2 GNBV'!F32</f>
        <v>3285170210</v>
      </c>
      <c r="G32" s="442">
        <f>C32-F32</f>
        <v>0</v>
      </c>
      <c r="H32" s="440" t="s">
        <v>34</v>
      </c>
      <c r="I32" s="682" t="s">
        <v>233</v>
      </c>
    </row>
    <row r="33" spans="1:9" s="118" customFormat="1" ht="45.75" customHeight="1">
      <c r="A33" s="127" t="s">
        <v>32</v>
      </c>
      <c r="B33" s="126" t="s">
        <v>234</v>
      </c>
      <c r="C33" s="135">
        <v>37320210</v>
      </c>
      <c r="D33" s="135">
        <v>27320210</v>
      </c>
      <c r="E33" s="135">
        <v>10000000</v>
      </c>
      <c r="F33" s="135"/>
      <c r="G33" s="135"/>
      <c r="H33" s="125"/>
      <c r="I33" s="683"/>
    </row>
    <row r="34" spans="1:9" s="118" customFormat="1" ht="54" customHeight="1">
      <c r="A34" s="127" t="s">
        <v>32</v>
      </c>
      <c r="B34" s="126" t="s">
        <v>9</v>
      </c>
      <c r="C34" s="135">
        <v>1702000000</v>
      </c>
      <c r="D34" s="135">
        <v>1652000000</v>
      </c>
      <c r="E34" s="135">
        <v>50000000</v>
      </c>
      <c r="F34" s="135"/>
      <c r="G34" s="135"/>
      <c r="H34" s="125"/>
      <c r="I34" s="683"/>
    </row>
    <row r="35" spans="1:9" s="118" customFormat="1" ht="58.5" customHeight="1">
      <c r="A35" s="445" t="s">
        <v>32</v>
      </c>
      <c r="B35" s="449" t="s">
        <v>21</v>
      </c>
      <c r="C35" s="447">
        <v>1545850000</v>
      </c>
      <c r="D35" s="447">
        <v>1500850000</v>
      </c>
      <c r="E35" s="447">
        <v>45000000</v>
      </c>
      <c r="F35" s="447"/>
      <c r="G35" s="447"/>
      <c r="H35" s="448"/>
      <c r="I35" s="684"/>
    </row>
    <row r="36" spans="1:9" s="119" customFormat="1" ht="39.75" customHeight="1">
      <c r="A36" s="457" t="s">
        <v>29</v>
      </c>
      <c r="B36" s="458" t="s">
        <v>235</v>
      </c>
      <c r="C36" s="459">
        <f>C37</f>
        <v>75526000</v>
      </c>
      <c r="D36" s="459">
        <f t="shared" ref="D36:G37" si="24">D37</f>
        <v>69526000</v>
      </c>
      <c r="E36" s="459">
        <f t="shared" si="24"/>
        <v>6000000</v>
      </c>
      <c r="F36" s="459">
        <f t="shared" si="24"/>
        <v>75526000</v>
      </c>
      <c r="G36" s="459">
        <f t="shared" si="24"/>
        <v>0</v>
      </c>
      <c r="H36" s="461"/>
      <c r="I36" s="460" t="s">
        <v>236</v>
      </c>
    </row>
    <row r="37" spans="1:9" s="119" customFormat="1" ht="39" customHeight="1">
      <c r="A37" s="251">
        <v>1</v>
      </c>
      <c r="B37" s="462" t="s">
        <v>9</v>
      </c>
      <c r="C37" s="463">
        <f>C38</f>
        <v>75526000</v>
      </c>
      <c r="D37" s="463">
        <f t="shared" si="24"/>
        <v>69526000</v>
      </c>
      <c r="E37" s="463">
        <f t="shared" si="24"/>
        <v>6000000</v>
      </c>
      <c r="F37" s="463">
        <f t="shared" si="24"/>
        <v>75526000</v>
      </c>
      <c r="G37" s="463">
        <f t="shared" si="24"/>
        <v>0</v>
      </c>
      <c r="H37" s="251"/>
      <c r="I37" s="443"/>
    </row>
    <row r="38" spans="1:9" s="118" customFormat="1" ht="36.75" customHeight="1">
      <c r="A38" s="125" t="s">
        <v>173</v>
      </c>
      <c r="B38" s="126" t="s">
        <v>237</v>
      </c>
      <c r="C38" s="135">
        <f>C39+C40</f>
        <v>75526000</v>
      </c>
      <c r="D38" s="135">
        <f t="shared" ref="D38:G38" si="25">D39+D40</f>
        <v>69526000</v>
      </c>
      <c r="E38" s="135">
        <f t="shared" si="25"/>
        <v>6000000</v>
      </c>
      <c r="F38" s="135">
        <f t="shared" si="25"/>
        <v>75526000</v>
      </c>
      <c r="G38" s="135">
        <f t="shared" si="25"/>
        <v>0</v>
      </c>
      <c r="H38" s="81" t="s">
        <v>238</v>
      </c>
      <c r="I38" s="216"/>
    </row>
    <row r="39" spans="1:9" s="118" customFormat="1" ht="36.75" customHeight="1">
      <c r="A39" s="127" t="s">
        <v>32</v>
      </c>
      <c r="B39" s="126" t="s">
        <v>239</v>
      </c>
      <c r="C39" s="135">
        <v>24260000</v>
      </c>
      <c r="D39" s="135">
        <v>20260000</v>
      </c>
      <c r="E39" s="135">
        <v>4000000</v>
      </c>
      <c r="F39" s="135">
        <f>'[2]B2 GNBV'!F46</f>
        <v>24260000</v>
      </c>
      <c r="G39" s="135">
        <f>C39-F39</f>
        <v>0</v>
      </c>
      <c r="H39" s="125"/>
      <c r="I39" s="216" t="s">
        <v>208</v>
      </c>
    </row>
    <row r="40" spans="1:9" s="118" customFormat="1" ht="27.75" customHeight="1">
      <c r="A40" s="445" t="s">
        <v>32</v>
      </c>
      <c r="B40" s="449" t="s">
        <v>240</v>
      </c>
      <c r="C40" s="447">
        <v>51266000</v>
      </c>
      <c r="D40" s="447">
        <v>49266000</v>
      </c>
      <c r="E40" s="447">
        <v>2000000</v>
      </c>
      <c r="F40" s="447">
        <f>'[2]B2 GNBV'!F47</f>
        <v>51266000</v>
      </c>
      <c r="G40" s="447">
        <f>C40-F40</f>
        <v>0</v>
      </c>
      <c r="H40" s="448"/>
      <c r="I40" s="446" t="s">
        <v>208</v>
      </c>
    </row>
    <row r="41" spans="1:9" s="119" customFormat="1" ht="25.5" customHeight="1">
      <c r="A41" s="453" t="s">
        <v>241</v>
      </c>
      <c r="B41" s="454" t="s">
        <v>242</v>
      </c>
      <c r="C41" s="455">
        <f>C42+C51+C57+C73+C123+C145+C96+C136</f>
        <v>32688759278</v>
      </c>
      <c r="D41" s="455">
        <f t="shared" ref="D41:G41" si="26">D42+D51+D57+D73+D123+D145+D96+D136</f>
        <v>31762030683</v>
      </c>
      <c r="E41" s="455">
        <f t="shared" si="26"/>
        <v>926728595</v>
      </c>
      <c r="F41" s="455">
        <f t="shared" si="26"/>
        <v>13388803235</v>
      </c>
      <c r="G41" s="455">
        <f t="shared" si="26"/>
        <v>19299956043</v>
      </c>
      <c r="H41" s="464"/>
      <c r="I41" s="456"/>
    </row>
    <row r="42" spans="1:9" s="119" customFormat="1" ht="35.25" customHeight="1">
      <c r="A42" s="457" t="s">
        <v>28</v>
      </c>
      <c r="B42" s="458" t="s">
        <v>243</v>
      </c>
      <c r="C42" s="459">
        <f>C43</f>
        <v>2545415824</v>
      </c>
      <c r="D42" s="459">
        <f t="shared" ref="D42:G42" si="27">D43</f>
        <v>2449415824</v>
      </c>
      <c r="E42" s="459">
        <f t="shared" si="27"/>
        <v>96000000</v>
      </c>
      <c r="F42" s="459">
        <f t="shared" si="27"/>
        <v>2545415824</v>
      </c>
      <c r="G42" s="459">
        <f t="shared" si="27"/>
        <v>0</v>
      </c>
      <c r="H42" s="461"/>
      <c r="I42" s="460" t="s">
        <v>932</v>
      </c>
    </row>
    <row r="43" spans="1:9" s="119" customFormat="1" ht="41.25" customHeight="1">
      <c r="A43" s="251">
        <v>1</v>
      </c>
      <c r="B43" s="462" t="s">
        <v>9</v>
      </c>
      <c r="C43" s="463">
        <f>C44+C46+C50</f>
        <v>2545415824</v>
      </c>
      <c r="D43" s="463">
        <f>D44+D46+D50</f>
        <v>2449415824</v>
      </c>
      <c r="E43" s="463">
        <f t="shared" ref="E43:F43" si="28">E44+E46+E50</f>
        <v>96000000</v>
      </c>
      <c r="F43" s="463">
        <f t="shared" si="28"/>
        <v>2545415824</v>
      </c>
      <c r="G43" s="135">
        <f t="shared" ref="G43:G108" si="29">C43-F43</f>
        <v>0</v>
      </c>
      <c r="H43" s="251"/>
      <c r="I43" s="441"/>
    </row>
    <row r="44" spans="1:9" s="118" customFormat="1" ht="31.5">
      <c r="A44" s="127" t="s">
        <v>173</v>
      </c>
      <c r="B44" s="126" t="s">
        <v>206</v>
      </c>
      <c r="C44" s="135">
        <f>C45</f>
        <v>300127624</v>
      </c>
      <c r="D44" s="135">
        <f t="shared" ref="D44:F44" si="30">D45</f>
        <v>300127624</v>
      </c>
      <c r="E44" s="135">
        <f t="shared" si="30"/>
        <v>0</v>
      </c>
      <c r="F44" s="135">
        <f t="shared" si="30"/>
        <v>300127624</v>
      </c>
      <c r="G44" s="135">
        <f t="shared" si="29"/>
        <v>0</v>
      </c>
      <c r="H44" s="125"/>
      <c r="I44" s="126"/>
    </row>
    <row r="45" spans="1:9" s="118" customFormat="1" ht="100.5" customHeight="1">
      <c r="A45" s="127" t="s">
        <v>32</v>
      </c>
      <c r="B45" s="126" t="s">
        <v>244</v>
      </c>
      <c r="C45" s="135">
        <f>D45+E45</f>
        <v>300127624</v>
      </c>
      <c r="D45" s="135">
        <v>300127624</v>
      </c>
      <c r="E45" s="135">
        <v>0</v>
      </c>
      <c r="F45" s="135">
        <f>'[2]B2 GNBV'!F52</f>
        <v>300127624</v>
      </c>
      <c r="G45" s="135">
        <f t="shared" si="29"/>
        <v>0</v>
      </c>
      <c r="H45" s="125" t="s">
        <v>245</v>
      </c>
      <c r="I45" s="126" t="s">
        <v>933</v>
      </c>
    </row>
    <row r="46" spans="1:9" s="118" customFormat="1" ht="38.25" customHeight="1">
      <c r="A46" s="125" t="s">
        <v>180</v>
      </c>
      <c r="B46" s="126" t="s">
        <v>246</v>
      </c>
      <c r="C46" s="135">
        <f>C47</f>
        <v>2163288200</v>
      </c>
      <c r="D46" s="135">
        <f>D47</f>
        <v>2067288200</v>
      </c>
      <c r="E46" s="135">
        <f>E47</f>
        <v>96000000</v>
      </c>
      <c r="F46" s="135">
        <f>F47</f>
        <v>2163288200</v>
      </c>
      <c r="G46" s="135">
        <f t="shared" si="29"/>
        <v>0</v>
      </c>
      <c r="H46" s="81"/>
      <c r="I46" s="216"/>
    </row>
    <row r="47" spans="1:9" s="118" customFormat="1" ht="41.25" customHeight="1">
      <c r="A47" s="127" t="s">
        <v>32</v>
      </c>
      <c r="B47" s="126" t="s">
        <v>247</v>
      </c>
      <c r="C47" s="135">
        <f>C48+C49</f>
        <v>2163288200</v>
      </c>
      <c r="D47" s="135">
        <f t="shared" ref="D47:F47" si="31">D48+D49</f>
        <v>2067288200</v>
      </c>
      <c r="E47" s="135">
        <f t="shared" si="31"/>
        <v>96000000</v>
      </c>
      <c r="F47" s="135">
        <f t="shared" si="31"/>
        <v>2163288200</v>
      </c>
      <c r="G47" s="135">
        <f t="shared" si="29"/>
        <v>0</v>
      </c>
      <c r="H47" s="81" t="s">
        <v>248</v>
      </c>
      <c r="I47" s="216"/>
    </row>
    <row r="48" spans="1:9" s="142" customFormat="1" ht="107.25" customHeight="1">
      <c r="A48" s="121" t="s">
        <v>213</v>
      </c>
      <c r="B48" s="123" t="s">
        <v>216</v>
      </c>
      <c r="C48" s="80">
        <f>D48+E48</f>
        <v>1173000000</v>
      </c>
      <c r="D48" s="80">
        <v>1139000000</v>
      </c>
      <c r="E48" s="80">
        <v>34000000</v>
      </c>
      <c r="F48" s="80">
        <f>'[2]B2 GNBV'!F58</f>
        <v>1173000000</v>
      </c>
      <c r="G48" s="135">
        <f t="shared" si="29"/>
        <v>0</v>
      </c>
      <c r="H48" s="465"/>
      <c r="I48" s="216" t="s">
        <v>217</v>
      </c>
    </row>
    <row r="49" spans="1:9" s="142" customFormat="1" ht="63">
      <c r="A49" s="121" t="s">
        <v>213</v>
      </c>
      <c r="B49" s="123" t="s">
        <v>934</v>
      </c>
      <c r="C49" s="80">
        <f>D49+E49</f>
        <v>990288200</v>
      </c>
      <c r="D49" s="80">
        <v>928288200</v>
      </c>
      <c r="E49" s="80">
        <v>62000000</v>
      </c>
      <c r="F49" s="80">
        <f>'[2]B2 GNBV'!F57</f>
        <v>990288200</v>
      </c>
      <c r="G49" s="135">
        <f t="shared" si="29"/>
        <v>0</v>
      </c>
      <c r="H49" s="465"/>
      <c r="I49" s="216" t="s">
        <v>215</v>
      </c>
    </row>
    <row r="50" spans="1:9" s="118" customFormat="1" ht="39.75" customHeight="1">
      <c r="A50" s="448" t="s">
        <v>249</v>
      </c>
      <c r="B50" s="449" t="s">
        <v>220</v>
      </c>
      <c r="C50" s="447">
        <v>82000000</v>
      </c>
      <c r="D50" s="447">
        <v>82000000</v>
      </c>
      <c r="E50" s="447">
        <v>0</v>
      </c>
      <c r="F50" s="447">
        <f>'[2]B2 GNBV'!F59</f>
        <v>82000000</v>
      </c>
      <c r="G50" s="135">
        <f t="shared" si="29"/>
        <v>0</v>
      </c>
      <c r="H50" s="466" t="s">
        <v>34</v>
      </c>
      <c r="I50" s="446" t="s">
        <v>250</v>
      </c>
    </row>
    <row r="51" spans="1:9" s="119" customFormat="1" ht="42.75" customHeight="1">
      <c r="A51" s="457" t="s">
        <v>29</v>
      </c>
      <c r="B51" s="458" t="s">
        <v>251</v>
      </c>
      <c r="C51" s="459">
        <f>C52</f>
        <v>3568000000</v>
      </c>
      <c r="D51" s="459">
        <f t="shared" ref="D51:F51" si="32">D52</f>
        <v>3464000000</v>
      </c>
      <c r="E51" s="459">
        <f t="shared" si="32"/>
        <v>104000000</v>
      </c>
      <c r="F51" s="459">
        <f t="shared" si="32"/>
        <v>3568000000</v>
      </c>
      <c r="G51" s="459">
        <f t="shared" si="29"/>
        <v>0</v>
      </c>
      <c r="H51" s="461"/>
      <c r="I51" s="460" t="s">
        <v>252</v>
      </c>
    </row>
    <row r="52" spans="1:9" s="119" customFormat="1" ht="34.5" customHeight="1">
      <c r="A52" s="251" t="s">
        <v>28</v>
      </c>
      <c r="B52" s="462" t="s">
        <v>43</v>
      </c>
      <c r="C52" s="442">
        <f>+C53</f>
        <v>3568000000</v>
      </c>
      <c r="D52" s="442">
        <f t="shared" ref="D52:F53" si="33">+D53</f>
        <v>3464000000</v>
      </c>
      <c r="E52" s="442">
        <f t="shared" si="33"/>
        <v>104000000</v>
      </c>
      <c r="F52" s="442">
        <f t="shared" si="33"/>
        <v>3568000000</v>
      </c>
      <c r="G52" s="442">
        <f t="shared" si="29"/>
        <v>0</v>
      </c>
      <c r="H52" s="251"/>
      <c r="I52" s="441"/>
    </row>
    <row r="53" spans="1:9" s="118" customFormat="1" ht="36" customHeight="1">
      <c r="A53" s="125">
        <v>1</v>
      </c>
      <c r="B53" s="126" t="s">
        <v>211</v>
      </c>
      <c r="C53" s="135">
        <f>+C54</f>
        <v>3568000000</v>
      </c>
      <c r="D53" s="135">
        <f t="shared" si="33"/>
        <v>3464000000</v>
      </c>
      <c r="E53" s="135">
        <f t="shared" si="33"/>
        <v>104000000</v>
      </c>
      <c r="F53" s="135">
        <f t="shared" si="33"/>
        <v>3568000000</v>
      </c>
      <c r="G53" s="135">
        <f t="shared" si="29"/>
        <v>0</v>
      </c>
      <c r="H53" s="125"/>
      <c r="I53" s="216"/>
    </row>
    <row r="54" spans="1:9" s="118" customFormat="1" ht="46.5" customHeight="1">
      <c r="A54" s="125" t="s">
        <v>32</v>
      </c>
      <c r="B54" s="126" t="s">
        <v>212</v>
      </c>
      <c r="C54" s="135">
        <f>SUM(C55:C56)</f>
        <v>3568000000</v>
      </c>
      <c r="D54" s="135">
        <f t="shared" ref="D54:F54" si="34">SUM(D55:D56)</f>
        <v>3464000000</v>
      </c>
      <c r="E54" s="135">
        <f t="shared" si="34"/>
        <v>104000000</v>
      </c>
      <c r="F54" s="135">
        <f t="shared" si="34"/>
        <v>3568000000</v>
      </c>
      <c r="G54" s="135">
        <f t="shared" si="29"/>
        <v>0</v>
      </c>
      <c r="H54" s="81" t="s">
        <v>248</v>
      </c>
      <c r="I54" s="216"/>
    </row>
    <row r="55" spans="1:9" s="138" customFormat="1" ht="71.25" customHeight="1">
      <c r="A55" s="136" t="s">
        <v>213</v>
      </c>
      <c r="B55" s="123" t="s">
        <v>935</v>
      </c>
      <c r="C55" s="80">
        <f>SUM(D55:E55)</f>
        <v>2194000000</v>
      </c>
      <c r="D55" s="80">
        <v>2130000000</v>
      </c>
      <c r="E55" s="80">
        <v>64000000</v>
      </c>
      <c r="F55" s="80">
        <f>'[2]B2 GNBV'!F66</f>
        <v>2194000000</v>
      </c>
      <c r="G55" s="80">
        <f t="shared" si="29"/>
        <v>0</v>
      </c>
      <c r="H55" s="137"/>
      <c r="I55" s="126" t="s">
        <v>274</v>
      </c>
    </row>
    <row r="56" spans="1:9" s="139" customFormat="1" ht="106.5" customHeight="1">
      <c r="A56" s="467" t="s">
        <v>213</v>
      </c>
      <c r="B56" s="468" t="s">
        <v>216</v>
      </c>
      <c r="C56" s="469">
        <f>SUM(D56:E56)</f>
        <v>1374000000</v>
      </c>
      <c r="D56" s="469">
        <v>1334000000</v>
      </c>
      <c r="E56" s="469">
        <v>40000000</v>
      </c>
      <c r="F56" s="469">
        <f>'[2]B2 GNBV'!F67</f>
        <v>1374000000</v>
      </c>
      <c r="G56" s="469">
        <f t="shared" si="29"/>
        <v>0</v>
      </c>
      <c r="H56" s="470"/>
      <c r="I56" s="446" t="s">
        <v>217</v>
      </c>
    </row>
    <row r="57" spans="1:9" s="118" customFormat="1" ht="25.5" customHeight="1">
      <c r="A57" s="457" t="s">
        <v>253</v>
      </c>
      <c r="B57" s="458" t="s">
        <v>254</v>
      </c>
      <c r="C57" s="459">
        <f>C58</f>
        <v>3228303876</v>
      </c>
      <c r="D57" s="459">
        <f t="shared" ref="D57:F57" si="35">D58</f>
        <v>3154022360</v>
      </c>
      <c r="E57" s="459">
        <f t="shared" si="35"/>
        <v>74281516</v>
      </c>
      <c r="F57" s="459">
        <f t="shared" si="35"/>
        <v>288934484</v>
      </c>
      <c r="G57" s="459">
        <f t="shared" si="29"/>
        <v>2939369392</v>
      </c>
      <c r="H57" s="461"/>
      <c r="I57" s="460" t="s">
        <v>255</v>
      </c>
    </row>
    <row r="58" spans="1:9" s="119" customFormat="1" ht="36" customHeight="1">
      <c r="A58" s="251">
        <v>1</v>
      </c>
      <c r="B58" s="462" t="s">
        <v>43</v>
      </c>
      <c r="C58" s="463">
        <f>C59+C60+C61+C63+C68+C70</f>
        <v>3228303876</v>
      </c>
      <c r="D58" s="471">
        <f t="shared" ref="D58:F58" si="36">D59+D60+D61+D63+D68+D70</f>
        <v>3154022360</v>
      </c>
      <c r="E58" s="471">
        <f t="shared" si="36"/>
        <v>74281516</v>
      </c>
      <c r="F58" s="471">
        <f t="shared" si="36"/>
        <v>288934484</v>
      </c>
      <c r="G58" s="471">
        <f t="shared" si="29"/>
        <v>2939369392</v>
      </c>
      <c r="H58" s="251"/>
      <c r="I58" s="441"/>
    </row>
    <row r="59" spans="1:9" s="118" customFormat="1" ht="49.5" customHeight="1">
      <c r="A59" s="125" t="s">
        <v>173</v>
      </c>
      <c r="B59" s="126" t="s">
        <v>203</v>
      </c>
      <c r="C59" s="135">
        <f>SUM(D59:E59)</f>
        <v>343905794</v>
      </c>
      <c r="D59" s="161">
        <v>343905794</v>
      </c>
      <c r="E59" s="161"/>
      <c r="F59" s="161">
        <v>0</v>
      </c>
      <c r="G59" s="161">
        <f t="shared" si="29"/>
        <v>343905794</v>
      </c>
      <c r="H59" s="81" t="s">
        <v>34</v>
      </c>
      <c r="I59" s="216" t="s">
        <v>135</v>
      </c>
    </row>
    <row r="60" spans="1:9" s="118" customFormat="1" ht="39" customHeight="1">
      <c r="A60" s="125" t="s">
        <v>180</v>
      </c>
      <c r="B60" s="126" t="s">
        <v>204</v>
      </c>
      <c r="C60" s="135">
        <f>SUM(D60:E60)</f>
        <v>268315867</v>
      </c>
      <c r="D60" s="135">
        <v>240618271</v>
      </c>
      <c r="E60" s="135">
        <v>27697596</v>
      </c>
      <c r="F60" s="135">
        <f>'[2]B2 GNBV'!F81</f>
        <v>39330484</v>
      </c>
      <c r="G60" s="135">
        <f t="shared" si="29"/>
        <v>228985383</v>
      </c>
      <c r="H60" s="81" t="s">
        <v>34</v>
      </c>
      <c r="I60" s="216" t="s">
        <v>208</v>
      </c>
    </row>
    <row r="61" spans="1:9" s="118" customFormat="1" ht="36.75" customHeight="1">
      <c r="A61" s="125" t="s">
        <v>249</v>
      </c>
      <c r="B61" s="126" t="s">
        <v>256</v>
      </c>
      <c r="C61" s="135">
        <f>C62</f>
        <v>55160120</v>
      </c>
      <c r="D61" s="135">
        <f t="shared" ref="D61:E61" si="37">D62</f>
        <v>54576200</v>
      </c>
      <c r="E61" s="135">
        <f t="shared" si="37"/>
        <v>583920</v>
      </c>
      <c r="F61" s="135"/>
      <c r="G61" s="135">
        <f t="shared" si="29"/>
        <v>55160120</v>
      </c>
      <c r="H61" s="81"/>
      <c r="I61" s="216"/>
    </row>
    <row r="62" spans="1:9" s="119" customFormat="1" ht="39.75" customHeight="1">
      <c r="A62" s="140" t="s">
        <v>32</v>
      </c>
      <c r="B62" s="126" t="s">
        <v>207</v>
      </c>
      <c r="C62" s="135">
        <f>SUM(D62:E62)</f>
        <v>55160120</v>
      </c>
      <c r="D62" s="135">
        <v>54576200</v>
      </c>
      <c r="E62" s="135">
        <v>583920</v>
      </c>
      <c r="F62" s="135"/>
      <c r="G62" s="135">
        <f t="shared" si="29"/>
        <v>55160120</v>
      </c>
      <c r="H62" s="81" t="s">
        <v>34</v>
      </c>
      <c r="I62" s="216" t="s">
        <v>208</v>
      </c>
    </row>
    <row r="63" spans="1:9" s="118" customFormat="1" ht="31.5">
      <c r="A63" s="125" t="s">
        <v>257</v>
      </c>
      <c r="B63" s="126" t="s">
        <v>246</v>
      </c>
      <c r="C63" s="135">
        <f>C64+C66+C67</f>
        <v>2559483500</v>
      </c>
      <c r="D63" s="135">
        <f t="shared" ref="D63:F63" si="38">D64+D66+D67</f>
        <v>2513483500</v>
      </c>
      <c r="E63" s="135">
        <f t="shared" si="38"/>
        <v>46000000</v>
      </c>
      <c r="F63" s="135">
        <f t="shared" si="38"/>
        <v>248834000</v>
      </c>
      <c r="G63" s="135">
        <f t="shared" si="29"/>
        <v>2310649500</v>
      </c>
      <c r="H63" s="81"/>
      <c r="I63" s="216"/>
    </row>
    <row r="64" spans="1:9" s="119" customFormat="1" ht="63">
      <c r="A64" s="140" t="s">
        <v>32</v>
      </c>
      <c r="B64" s="126" t="s">
        <v>258</v>
      </c>
      <c r="C64" s="135">
        <f>SUM(D64:E64)</f>
        <v>1574000000</v>
      </c>
      <c r="D64" s="135">
        <v>1528000000</v>
      </c>
      <c r="E64" s="135">
        <v>46000000</v>
      </c>
      <c r="F64" s="135">
        <f>F65</f>
        <v>248834000</v>
      </c>
      <c r="G64" s="135">
        <f t="shared" si="29"/>
        <v>1325166000</v>
      </c>
      <c r="H64" s="81" t="s">
        <v>37</v>
      </c>
      <c r="I64" s="216"/>
    </row>
    <row r="65" spans="1:9" s="142" customFormat="1" ht="41.25" customHeight="1">
      <c r="A65" s="141" t="s">
        <v>213</v>
      </c>
      <c r="B65" s="123" t="s">
        <v>259</v>
      </c>
      <c r="C65" s="80">
        <v>1574000000</v>
      </c>
      <c r="D65" s="80">
        <v>1528000000</v>
      </c>
      <c r="E65" s="80">
        <v>46000000</v>
      </c>
      <c r="F65" s="80">
        <f>'[2]B2 GNBV'!F86</f>
        <v>248834000</v>
      </c>
      <c r="G65" s="80">
        <f t="shared" si="29"/>
        <v>1325166000</v>
      </c>
      <c r="H65" s="79"/>
      <c r="I65" s="216" t="s">
        <v>141</v>
      </c>
    </row>
    <row r="66" spans="1:9" s="118" customFormat="1" ht="54" customHeight="1">
      <c r="A66" s="127" t="s">
        <v>32</v>
      </c>
      <c r="B66" s="126" t="s">
        <v>218</v>
      </c>
      <c r="C66" s="135">
        <f>SUM(D66:E66)</f>
        <v>690246000</v>
      </c>
      <c r="D66" s="135">
        <f>'[3]Biểu 2'!$M$219</f>
        <v>690246000</v>
      </c>
      <c r="E66" s="135">
        <v>0</v>
      </c>
      <c r="F66" s="135"/>
      <c r="G66" s="135">
        <f t="shared" si="29"/>
        <v>690246000</v>
      </c>
      <c r="H66" s="81" t="s">
        <v>34</v>
      </c>
      <c r="I66" s="216" t="s">
        <v>219</v>
      </c>
    </row>
    <row r="67" spans="1:9" s="118" customFormat="1" ht="23.25" customHeight="1">
      <c r="A67" s="127" t="s">
        <v>32</v>
      </c>
      <c r="B67" s="126" t="s">
        <v>220</v>
      </c>
      <c r="C67" s="135">
        <f>SUM(D67:E67)</f>
        <v>295237500</v>
      </c>
      <c r="D67" s="135">
        <f>'[3]Biểu 2'!$M$221</f>
        <v>295237500</v>
      </c>
      <c r="E67" s="135"/>
      <c r="F67" s="135"/>
      <c r="G67" s="135">
        <f t="shared" si="29"/>
        <v>295237500</v>
      </c>
      <c r="H67" s="81" t="s">
        <v>34</v>
      </c>
      <c r="I67" s="216"/>
    </row>
    <row r="68" spans="1:9" s="118" customFormat="1" ht="31.5">
      <c r="A68" s="125" t="s">
        <v>260</v>
      </c>
      <c r="B68" s="126" t="s">
        <v>222</v>
      </c>
      <c r="C68" s="135">
        <f>SUM(D68:E68)</f>
        <v>7000</v>
      </c>
      <c r="D68" s="135">
        <v>7000</v>
      </c>
      <c r="E68" s="135">
        <v>0</v>
      </c>
      <c r="F68" s="135"/>
      <c r="G68" s="135">
        <f t="shared" si="29"/>
        <v>7000</v>
      </c>
      <c r="H68" s="81"/>
      <c r="I68" s="216"/>
    </row>
    <row r="69" spans="1:9" s="118" customFormat="1" ht="36.75" customHeight="1">
      <c r="A69" s="140" t="s">
        <v>32</v>
      </c>
      <c r="B69" s="126" t="s">
        <v>223</v>
      </c>
      <c r="C69" s="135">
        <f>SUM(D69:E69)</f>
        <v>7000</v>
      </c>
      <c r="D69" s="135">
        <v>7000</v>
      </c>
      <c r="E69" s="135">
        <v>0</v>
      </c>
      <c r="F69" s="135"/>
      <c r="G69" s="135">
        <f t="shared" si="29"/>
        <v>7000</v>
      </c>
      <c r="H69" s="81" t="s">
        <v>41</v>
      </c>
      <c r="I69" s="216" t="s">
        <v>208</v>
      </c>
    </row>
    <row r="70" spans="1:9" s="124" customFormat="1" ht="39" customHeight="1">
      <c r="A70" s="125" t="s">
        <v>261</v>
      </c>
      <c r="B70" s="126" t="s">
        <v>224</v>
      </c>
      <c r="C70" s="135">
        <f>SUM(C71:C72)</f>
        <v>1431595</v>
      </c>
      <c r="D70" s="135">
        <f t="shared" ref="D70:F70" si="39">SUM(D71:D72)</f>
        <v>1431595</v>
      </c>
      <c r="E70" s="135">
        <f t="shared" si="39"/>
        <v>0</v>
      </c>
      <c r="F70" s="135">
        <f t="shared" si="39"/>
        <v>770000</v>
      </c>
      <c r="G70" s="135">
        <f t="shared" si="29"/>
        <v>661595</v>
      </c>
      <c r="H70" s="81"/>
      <c r="I70" s="216"/>
    </row>
    <row r="71" spans="1:9" s="118" customFormat="1" ht="36.75" customHeight="1">
      <c r="A71" s="140" t="s">
        <v>32</v>
      </c>
      <c r="B71" s="126" t="s">
        <v>225</v>
      </c>
      <c r="C71" s="135">
        <f>SUM(D71:E71)</f>
        <v>41235</v>
      </c>
      <c r="D71" s="135">
        <f>'[3]Biểu 2'!$M$227</f>
        <v>41235</v>
      </c>
      <c r="E71" s="135">
        <v>0</v>
      </c>
      <c r="F71" s="135"/>
      <c r="G71" s="135">
        <f t="shared" si="29"/>
        <v>41235</v>
      </c>
      <c r="H71" s="81" t="s">
        <v>37</v>
      </c>
      <c r="I71" s="216" t="s">
        <v>208</v>
      </c>
    </row>
    <row r="72" spans="1:9" s="118" customFormat="1" ht="31.5">
      <c r="A72" s="472" t="s">
        <v>32</v>
      </c>
      <c r="B72" s="449" t="s">
        <v>226</v>
      </c>
      <c r="C72" s="447">
        <f>SUM(D72:E72)</f>
        <v>1390360</v>
      </c>
      <c r="D72" s="447">
        <v>1390360</v>
      </c>
      <c r="E72" s="447">
        <v>0</v>
      </c>
      <c r="F72" s="447">
        <f>'[2]B2 GNBV'!F91</f>
        <v>770000</v>
      </c>
      <c r="G72" s="447">
        <f t="shared" si="29"/>
        <v>620360</v>
      </c>
      <c r="H72" s="466" t="s">
        <v>37</v>
      </c>
      <c r="I72" s="446" t="str">
        <f>I71</f>
        <v>Kinh phí còn dư do hết nhiệm vụ chi</v>
      </c>
    </row>
    <row r="73" spans="1:9" s="118" customFormat="1" ht="28.5" customHeight="1">
      <c r="A73" s="457" t="s">
        <v>262</v>
      </c>
      <c r="B73" s="458" t="s">
        <v>193</v>
      </c>
      <c r="C73" s="459">
        <f>C74+C85</f>
        <v>4496824432</v>
      </c>
      <c r="D73" s="459">
        <f t="shared" ref="D73:F73" si="40">D74+D85</f>
        <v>4339840432</v>
      </c>
      <c r="E73" s="459">
        <f t="shared" si="40"/>
        <v>156984000</v>
      </c>
      <c r="F73" s="459">
        <f t="shared" si="40"/>
        <v>475883050</v>
      </c>
      <c r="G73" s="459">
        <f t="shared" si="29"/>
        <v>4020941382</v>
      </c>
      <c r="H73" s="461"/>
      <c r="I73" s="460" t="s">
        <v>936</v>
      </c>
    </row>
    <row r="74" spans="1:9" s="118" customFormat="1" ht="36" customHeight="1">
      <c r="A74" s="457">
        <v>1</v>
      </c>
      <c r="B74" s="458" t="s">
        <v>263</v>
      </c>
      <c r="C74" s="459">
        <f>C75+C76+C80+C82</f>
        <v>818370000</v>
      </c>
      <c r="D74" s="459">
        <f t="shared" ref="D74:F74" si="41">D75+D76+D80+D82</f>
        <v>818370000</v>
      </c>
      <c r="E74" s="459">
        <f t="shared" si="41"/>
        <v>0</v>
      </c>
      <c r="F74" s="459">
        <f t="shared" si="41"/>
        <v>57715600</v>
      </c>
      <c r="G74" s="459">
        <f t="shared" si="29"/>
        <v>760654400</v>
      </c>
      <c r="H74" s="461"/>
      <c r="I74" s="460"/>
    </row>
    <row r="75" spans="1:9" s="118" customFormat="1" ht="36" customHeight="1">
      <c r="A75" s="440" t="s">
        <v>173</v>
      </c>
      <c r="B75" s="443" t="s">
        <v>264</v>
      </c>
      <c r="C75" s="473">
        <f>D75+E75</f>
        <v>57380000</v>
      </c>
      <c r="D75" s="473">
        <v>57380000</v>
      </c>
      <c r="E75" s="473">
        <v>0</v>
      </c>
      <c r="F75" s="473"/>
      <c r="G75" s="473">
        <f t="shared" si="29"/>
        <v>57380000</v>
      </c>
      <c r="H75" s="440" t="s">
        <v>34</v>
      </c>
      <c r="I75" s="443" t="s">
        <v>208</v>
      </c>
    </row>
    <row r="76" spans="1:9" s="118" customFormat="1" ht="36.75" customHeight="1">
      <c r="A76" s="143" t="s">
        <v>180</v>
      </c>
      <c r="B76" s="126" t="s">
        <v>265</v>
      </c>
      <c r="C76" s="144">
        <f>C77+C79</f>
        <v>725624000</v>
      </c>
      <c r="D76" s="144">
        <f t="shared" ref="D76:F76" si="42">D77+D79</f>
        <v>725624000</v>
      </c>
      <c r="E76" s="144">
        <f t="shared" si="42"/>
        <v>0</v>
      </c>
      <c r="F76" s="144">
        <f t="shared" si="42"/>
        <v>57715600</v>
      </c>
      <c r="G76" s="144">
        <f t="shared" si="29"/>
        <v>667908400</v>
      </c>
      <c r="H76" s="143"/>
      <c r="I76" s="216"/>
    </row>
    <row r="77" spans="1:9" s="118" customFormat="1" ht="38.25" customHeight="1">
      <c r="A77" s="145" t="s">
        <v>32</v>
      </c>
      <c r="B77" s="126" t="s">
        <v>212</v>
      </c>
      <c r="C77" s="144">
        <f>C78</f>
        <v>697932000</v>
      </c>
      <c r="D77" s="144">
        <f t="shared" ref="D77:E77" si="43">D78</f>
        <v>697932000</v>
      </c>
      <c r="E77" s="144">
        <f t="shared" si="43"/>
        <v>0</v>
      </c>
      <c r="F77" s="144">
        <f>F78</f>
        <v>57715600</v>
      </c>
      <c r="G77" s="144">
        <f t="shared" si="29"/>
        <v>640216400</v>
      </c>
      <c r="H77" s="146" t="s">
        <v>238</v>
      </c>
      <c r="I77" s="216"/>
    </row>
    <row r="78" spans="1:9" s="124" customFormat="1" ht="63">
      <c r="A78" s="147" t="s">
        <v>213</v>
      </c>
      <c r="B78" s="123" t="s">
        <v>214</v>
      </c>
      <c r="C78" s="148">
        <f>D78+E78</f>
        <v>697932000</v>
      </c>
      <c r="D78" s="148">
        <v>697932000</v>
      </c>
      <c r="E78" s="148">
        <v>0</v>
      </c>
      <c r="F78" s="148">
        <f>'[2]B2 GNBV'!F100</f>
        <v>57715600</v>
      </c>
      <c r="G78" s="148">
        <f t="shared" si="29"/>
        <v>640216400</v>
      </c>
      <c r="H78" s="149"/>
      <c r="I78" s="216" t="s">
        <v>266</v>
      </c>
    </row>
    <row r="79" spans="1:9" s="118" customFormat="1" ht="38.25" customHeight="1">
      <c r="A79" s="145" t="s">
        <v>32</v>
      </c>
      <c r="B79" s="126" t="s">
        <v>267</v>
      </c>
      <c r="C79" s="144">
        <f>D79+E79</f>
        <v>27692000</v>
      </c>
      <c r="D79" s="144">
        <v>27692000</v>
      </c>
      <c r="E79" s="144"/>
      <c r="F79" s="144"/>
      <c r="G79" s="144">
        <f t="shared" si="29"/>
        <v>27692000</v>
      </c>
      <c r="H79" s="146" t="s">
        <v>34</v>
      </c>
      <c r="I79" s="216" t="s">
        <v>250</v>
      </c>
    </row>
    <row r="80" spans="1:9" s="118" customFormat="1" ht="34.5" customHeight="1">
      <c r="A80" s="125" t="s">
        <v>249</v>
      </c>
      <c r="B80" s="126" t="s">
        <v>222</v>
      </c>
      <c r="C80" s="135">
        <f>C81</f>
        <v>25000000</v>
      </c>
      <c r="D80" s="135">
        <f>D81</f>
        <v>25000000</v>
      </c>
      <c r="E80" s="135">
        <v>0</v>
      </c>
      <c r="F80" s="135"/>
      <c r="G80" s="135">
        <f t="shared" si="29"/>
        <v>25000000</v>
      </c>
      <c r="H80" s="81"/>
      <c r="I80" s="216"/>
    </row>
    <row r="81" spans="1:9" s="118" customFormat="1" ht="36.75" customHeight="1">
      <c r="A81" s="140" t="s">
        <v>32</v>
      </c>
      <c r="B81" s="126" t="s">
        <v>223</v>
      </c>
      <c r="C81" s="135">
        <f>SUM(D81:E81)</f>
        <v>25000000</v>
      </c>
      <c r="D81" s="135">
        <v>25000000</v>
      </c>
      <c r="E81" s="135">
        <v>0</v>
      </c>
      <c r="F81" s="135"/>
      <c r="G81" s="135">
        <f t="shared" si="29"/>
        <v>25000000</v>
      </c>
      <c r="H81" s="81" t="s">
        <v>41</v>
      </c>
      <c r="I81" s="216" t="str">
        <f>I75</f>
        <v>Kinh phí còn dư do hết nhiệm vụ chi</v>
      </c>
    </row>
    <row r="82" spans="1:9" s="118" customFormat="1" ht="36.75" customHeight="1">
      <c r="A82" s="125" t="s">
        <v>257</v>
      </c>
      <c r="B82" s="126" t="s">
        <v>237</v>
      </c>
      <c r="C82" s="135">
        <f>C83+C84</f>
        <v>10366000</v>
      </c>
      <c r="D82" s="135">
        <f t="shared" ref="D82:E82" si="44">D83+D84</f>
        <v>10366000</v>
      </c>
      <c r="E82" s="135">
        <f t="shared" si="44"/>
        <v>0</v>
      </c>
      <c r="F82" s="135"/>
      <c r="G82" s="135">
        <f t="shared" si="29"/>
        <v>10366000</v>
      </c>
      <c r="H82" s="81"/>
      <c r="I82" s="216"/>
    </row>
    <row r="83" spans="1:9" s="118" customFormat="1" ht="39" customHeight="1">
      <c r="A83" s="127" t="s">
        <v>32</v>
      </c>
      <c r="B83" s="126" t="s">
        <v>239</v>
      </c>
      <c r="C83" s="135">
        <f>D83+E83</f>
        <v>10204000</v>
      </c>
      <c r="D83" s="135">
        <v>10204000</v>
      </c>
      <c r="E83" s="135"/>
      <c r="F83" s="135"/>
      <c r="G83" s="135">
        <f t="shared" si="29"/>
        <v>10204000</v>
      </c>
      <c r="H83" s="81" t="s">
        <v>238</v>
      </c>
      <c r="I83" s="216" t="str">
        <f>I81</f>
        <v>Kinh phí còn dư do hết nhiệm vụ chi</v>
      </c>
    </row>
    <row r="84" spans="1:9" s="118" customFormat="1" ht="36" customHeight="1">
      <c r="A84" s="445" t="s">
        <v>32</v>
      </c>
      <c r="B84" s="449" t="s">
        <v>240</v>
      </c>
      <c r="C84" s="447">
        <f>D84+E84</f>
        <v>162000</v>
      </c>
      <c r="D84" s="447">
        <v>162000</v>
      </c>
      <c r="E84" s="447"/>
      <c r="F84" s="447"/>
      <c r="G84" s="447">
        <f t="shared" si="29"/>
        <v>162000</v>
      </c>
      <c r="H84" s="466" t="s">
        <v>238</v>
      </c>
      <c r="I84" s="446" t="str">
        <f>I83</f>
        <v>Kinh phí còn dư do hết nhiệm vụ chi</v>
      </c>
    </row>
    <row r="85" spans="1:9" s="118" customFormat="1" ht="39" customHeight="1">
      <c r="A85" s="457">
        <v>2</v>
      </c>
      <c r="B85" s="458" t="s">
        <v>268</v>
      </c>
      <c r="C85" s="459">
        <f>C86+C87+C89+C94</f>
        <v>3678454432</v>
      </c>
      <c r="D85" s="459">
        <f t="shared" ref="D85:F85" si="45">D86+D87+D89+D94</f>
        <v>3521470432</v>
      </c>
      <c r="E85" s="459">
        <f t="shared" si="45"/>
        <v>156984000</v>
      </c>
      <c r="F85" s="459">
        <f t="shared" si="45"/>
        <v>418167450</v>
      </c>
      <c r="G85" s="459">
        <f>C85-F85</f>
        <v>3260286982</v>
      </c>
      <c r="H85" s="461"/>
      <c r="I85" s="460"/>
    </row>
    <row r="86" spans="1:9" s="118" customFormat="1" ht="38.25" customHeight="1">
      <c r="A86" s="440" t="s">
        <v>269</v>
      </c>
      <c r="B86" s="443" t="s">
        <v>264</v>
      </c>
      <c r="C86" s="473">
        <f>D86+E86</f>
        <v>36139000</v>
      </c>
      <c r="D86" s="473">
        <v>19609000</v>
      </c>
      <c r="E86" s="473">
        <v>16530000</v>
      </c>
      <c r="F86" s="473"/>
      <c r="G86" s="473">
        <f t="shared" si="29"/>
        <v>36139000</v>
      </c>
      <c r="H86" s="440" t="s">
        <v>34</v>
      </c>
      <c r="I86" s="443" t="str">
        <f>I84</f>
        <v>Kinh phí còn dư do hết nhiệm vụ chi</v>
      </c>
    </row>
    <row r="87" spans="1:9" s="118" customFormat="1" ht="20.25" customHeight="1">
      <c r="A87" s="143" t="s">
        <v>270</v>
      </c>
      <c r="B87" s="126" t="s">
        <v>271</v>
      </c>
      <c r="C87" s="144">
        <f>C88</f>
        <v>156332382</v>
      </c>
      <c r="D87" s="144">
        <f>D88</f>
        <v>156332382</v>
      </c>
      <c r="E87" s="144">
        <f>E88</f>
        <v>0</v>
      </c>
      <c r="F87" s="144"/>
      <c r="G87" s="144">
        <f t="shared" si="29"/>
        <v>156332382</v>
      </c>
      <c r="H87" s="143"/>
      <c r="I87" s="216"/>
    </row>
    <row r="88" spans="1:9" s="118" customFormat="1" ht="22.5" customHeight="1">
      <c r="A88" s="143" t="s">
        <v>32</v>
      </c>
      <c r="B88" s="126" t="s">
        <v>209</v>
      </c>
      <c r="C88" s="144">
        <f>SUM(D88:E88)</f>
        <v>156332382</v>
      </c>
      <c r="D88" s="144">
        <v>156332382</v>
      </c>
      <c r="E88" s="144">
        <v>0</v>
      </c>
      <c r="F88" s="144"/>
      <c r="G88" s="144">
        <f t="shared" si="29"/>
        <v>156332382</v>
      </c>
      <c r="H88" s="143" t="s">
        <v>245</v>
      </c>
      <c r="I88" s="216" t="s">
        <v>272</v>
      </c>
    </row>
    <row r="89" spans="1:9" s="118" customFormat="1" ht="33.75" customHeight="1">
      <c r="A89" s="143" t="s">
        <v>273</v>
      </c>
      <c r="B89" s="126" t="s">
        <v>265</v>
      </c>
      <c r="C89" s="144">
        <f>C90+C93</f>
        <v>3402878450</v>
      </c>
      <c r="D89" s="144">
        <f t="shared" ref="D89:F89" si="46">D90+D93</f>
        <v>3270878450</v>
      </c>
      <c r="E89" s="144">
        <f t="shared" si="46"/>
        <v>132000000</v>
      </c>
      <c r="F89" s="144">
        <f t="shared" si="46"/>
        <v>335062850</v>
      </c>
      <c r="G89" s="144">
        <f t="shared" si="29"/>
        <v>3067815600</v>
      </c>
      <c r="H89" s="143"/>
      <c r="I89" s="216"/>
    </row>
    <row r="90" spans="1:9" s="118" customFormat="1" ht="38.25" customHeight="1">
      <c r="A90" s="145" t="s">
        <v>32</v>
      </c>
      <c r="B90" s="126" t="s">
        <v>212</v>
      </c>
      <c r="C90" s="144">
        <f>C91+C92</f>
        <v>3062815600</v>
      </c>
      <c r="D90" s="144">
        <f t="shared" ref="D90:E90" si="47">D91+D92</f>
        <v>2949815600</v>
      </c>
      <c r="E90" s="144">
        <f t="shared" si="47"/>
        <v>113000000</v>
      </c>
      <c r="F90" s="144"/>
      <c r="G90" s="144">
        <f t="shared" si="29"/>
        <v>3062815600</v>
      </c>
      <c r="H90" s="146" t="s">
        <v>238</v>
      </c>
      <c r="I90" s="216"/>
    </row>
    <row r="91" spans="1:9" s="124" customFormat="1" ht="63">
      <c r="A91" s="147" t="s">
        <v>213</v>
      </c>
      <c r="B91" s="123" t="s">
        <v>214</v>
      </c>
      <c r="C91" s="148">
        <f>D91+E91</f>
        <v>1917815600</v>
      </c>
      <c r="D91" s="148">
        <v>1837815600</v>
      </c>
      <c r="E91" s="148">
        <v>80000000</v>
      </c>
      <c r="F91" s="148"/>
      <c r="G91" s="148">
        <f t="shared" si="29"/>
        <v>1917815600</v>
      </c>
      <c r="H91" s="149"/>
      <c r="I91" s="216" t="s">
        <v>274</v>
      </c>
    </row>
    <row r="92" spans="1:9" s="124" customFormat="1" ht="94.5">
      <c r="A92" s="147" t="s">
        <v>213</v>
      </c>
      <c r="B92" s="123" t="s">
        <v>275</v>
      </c>
      <c r="C92" s="148">
        <f>D92+E92</f>
        <v>1145000000</v>
      </c>
      <c r="D92" s="148">
        <v>1112000000</v>
      </c>
      <c r="E92" s="148">
        <v>33000000</v>
      </c>
      <c r="F92" s="148"/>
      <c r="G92" s="148">
        <f t="shared" si="29"/>
        <v>1145000000</v>
      </c>
      <c r="H92" s="149"/>
      <c r="I92" s="216" t="s">
        <v>217</v>
      </c>
    </row>
    <row r="93" spans="1:9" s="118" customFormat="1" ht="24" customHeight="1">
      <c r="A93" s="145" t="s">
        <v>32</v>
      </c>
      <c r="B93" s="126" t="s">
        <v>267</v>
      </c>
      <c r="C93" s="144">
        <f>D93+E93</f>
        <v>340062850</v>
      </c>
      <c r="D93" s="144">
        <v>321062850</v>
      </c>
      <c r="E93" s="144">
        <v>19000000</v>
      </c>
      <c r="F93" s="144">
        <f>'[2]B2 GNBV'!F101</f>
        <v>335062850</v>
      </c>
      <c r="G93" s="144">
        <f t="shared" si="29"/>
        <v>5000000</v>
      </c>
      <c r="H93" s="143" t="s">
        <v>34</v>
      </c>
      <c r="I93" s="216" t="s">
        <v>208</v>
      </c>
    </row>
    <row r="94" spans="1:9" s="118" customFormat="1" ht="31.5">
      <c r="A94" s="125" t="s">
        <v>257</v>
      </c>
      <c r="B94" s="126" t="s">
        <v>237</v>
      </c>
      <c r="C94" s="135">
        <f>C95</f>
        <v>83104600</v>
      </c>
      <c r="D94" s="135">
        <f>D95</f>
        <v>74650600</v>
      </c>
      <c r="E94" s="135">
        <f>E95</f>
        <v>8454000</v>
      </c>
      <c r="F94" s="135">
        <f>F95</f>
        <v>83104600</v>
      </c>
      <c r="G94" s="135">
        <f t="shared" si="29"/>
        <v>0</v>
      </c>
      <c r="H94" s="143"/>
      <c r="I94" s="216"/>
    </row>
    <row r="95" spans="1:9" s="118" customFormat="1" ht="31.5">
      <c r="A95" s="474" t="s">
        <v>32</v>
      </c>
      <c r="B95" s="475" t="s">
        <v>239</v>
      </c>
      <c r="C95" s="476">
        <f>D95+E95</f>
        <v>83104600</v>
      </c>
      <c r="D95" s="476">
        <v>74650600</v>
      </c>
      <c r="E95" s="476">
        <v>8454000</v>
      </c>
      <c r="F95" s="476">
        <f>'[2]B2 GNBV'!F102</f>
        <v>83104600</v>
      </c>
      <c r="G95" s="476">
        <f t="shared" si="29"/>
        <v>0</v>
      </c>
      <c r="H95" s="477"/>
      <c r="I95" s="120"/>
    </row>
    <row r="96" spans="1:9" s="118" customFormat="1" ht="32.25" customHeight="1">
      <c r="A96" s="457" t="s">
        <v>276</v>
      </c>
      <c r="B96" s="458" t="s">
        <v>937</v>
      </c>
      <c r="C96" s="459">
        <f>C97+C102+C112</f>
        <v>6510569877</v>
      </c>
      <c r="D96" s="459">
        <f>D97+D102+D112</f>
        <v>6469014207</v>
      </c>
      <c r="E96" s="459">
        <f>E97+E102+E112</f>
        <v>41555670</v>
      </c>
      <c r="F96" s="459">
        <f>F97+F102+F112</f>
        <v>6510569877</v>
      </c>
      <c r="G96" s="459">
        <f t="shared" si="29"/>
        <v>0</v>
      </c>
      <c r="H96" s="461"/>
      <c r="I96" s="460" t="s">
        <v>938</v>
      </c>
    </row>
    <row r="97" spans="1:9" s="118" customFormat="1" ht="38.25" customHeight="1">
      <c r="A97" s="457">
        <v>1</v>
      </c>
      <c r="B97" s="458" t="s">
        <v>234</v>
      </c>
      <c r="C97" s="459">
        <f>D97+E97</f>
        <v>45559374</v>
      </c>
      <c r="D97" s="459">
        <f>D98+D99</f>
        <v>45559374</v>
      </c>
      <c r="E97" s="459">
        <f>E98+E99</f>
        <v>0</v>
      </c>
      <c r="F97" s="459">
        <f>F98+F99</f>
        <v>45559374</v>
      </c>
      <c r="G97" s="459">
        <f t="shared" si="29"/>
        <v>0</v>
      </c>
      <c r="H97" s="461"/>
      <c r="I97" s="460"/>
    </row>
    <row r="98" spans="1:9" s="118" customFormat="1" ht="52.5" hidden="1" customHeight="1">
      <c r="A98" s="145" t="s">
        <v>173</v>
      </c>
      <c r="B98" s="126" t="s">
        <v>939</v>
      </c>
      <c r="C98" s="144">
        <f>D98+E98</f>
        <v>0</v>
      </c>
      <c r="D98" s="144">
        <v>0</v>
      </c>
      <c r="E98" s="144"/>
      <c r="F98" s="144"/>
      <c r="G98" s="144">
        <f t="shared" si="29"/>
        <v>0</v>
      </c>
      <c r="H98" s="146" t="s">
        <v>34</v>
      </c>
      <c r="I98" s="216" t="s">
        <v>317</v>
      </c>
    </row>
    <row r="99" spans="1:9" s="118" customFormat="1" ht="38.25" customHeight="1">
      <c r="A99" s="145" t="s">
        <v>173</v>
      </c>
      <c r="B99" s="126" t="s">
        <v>940</v>
      </c>
      <c r="C99" s="144">
        <f>D99+E99</f>
        <v>45559374</v>
      </c>
      <c r="D99" s="144">
        <f>D100</f>
        <v>45559374</v>
      </c>
      <c r="E99" s="144"/>
      <c r="F99" s="144">
        <f>'[2]B2 GNBV'!F109</f>
        <v>45559374</v>
      </c>
      <c r="G99" s="144">
        <f t="shared" si="29"/>
        <v>0</v>
      </c>
      <c r="H99" s="146" t="s">
        <v>238</v>
      </c>
      <c r="I99" s="216" t="s">
        <v>317</v>
      </c>
    </row>
    <row r="100" spans="1:9" s="118" customFormat="1" ht="36.75" customHeight="1">
      <c r="A100" s="145" t="s">
        <v>32</v>
      </c>
      <c r="B100" s="126" t="s">
        <v>941</v>
      </c>
      <c r="C100" s="144">
        <f>D100+E100</f>
        <v>45559374</v>
      </c>
      <c r="D100" s="144">
        <v>45559374</v>
      </c>
      <c r="E100" s="144"/>
      <c r="F100" s="144">
        <f>F101</f>
        <v>45559374</v>
      </c>
      <c r="G100" s="144">
        <f t="shared" si="29"/>
        <v>0</v>
      </c>
      <c r="H100" s="146"/>
      <c r="I100" s="216"/>
    </row>
    <row r="101" spans="1:9" s="118" customFormat="1" ht="63">
      <c r="A101" s="478" t="s">
        <v>213</v>
      </c>
      <c r="B101" s="479" t="s">
        <v>942</v>
      </c>
      <c r="C101" s="480">
        <v>45559374</v>
      </c>
      <c r="D101" s="480">
        <v>45559374</v>
      </c>
      <c r="E101" s="480"/>
      <c r="F101" s="480">
        <f>'[2]B2 GNBV'!F111</f>
        <v>45559374</v>
      </c>
      <c r="G101" s="480">
        <f t="shared" si="29"/>
        <v>0</v>
      </c>
      <c r="H101" s="481"/>
      <c r="I101" s="482"/>
    </row>
    <row r="102" spans="1:9" s="118" customFormat="1" ht="39.75" customHeight="1">
      <c r="A102" s="457">
        <v>2</v>
      </c>
      <c r="B102" s="458" t="s">
        <v>9</v>
      </c>
      <c r="C102" s="459">
        <f>D102+E102</f>
        <v>3609335503</v>
      </c>
      <c r="D102" s="459">
        <f>D103+D105+D109+D111</f>
        <v>3602579833</v>
      </c>
      <c r="E102" s="459">
        <f>E103+E105+E109+E111</f>
        <v>6755670</v>
      </c>
      <c r="F102" s="459">
        <f>F103+F105+F109+F111</f>
        <v>3609335503</v>
      </c>
      <c r="G102" s="459">
        <f t="shared" si="29"/>
        <v>0</v>
      </c>
      <c r="H102" s="461"/>
      <c r="I102" s="460"/>
    </row>
    <row r="103" spans="1:9" s="118" customFormat="1" ht="36" customHeight="1">
      <c r="A103" s="145" t="s">
        <v>269</v>
      </c>
      <c r="B103" s="126" t="s">
        <v>943</v>
      </c>
      <c r="C103" s="144">
        <f t="shared" ref="C103:E103" si="48">C104</f>
        <v>19913503</v>
      </c>
      <c r="D103" s="144">
        <f t="shared" si="48"/>
        <v>19357833</v>
      </c>
      <c r="E103" s="144">
        <f t="shared" si="48"/>
        <v>555670</v>
      </c>
      <c r="F103" s="144">
        <f>F104</f>
        <v>19913503</v>
      </c>
      <c r="G103" s="144">
        <f t="shared" si="29"/>
        <v>0</v>
      </c>
      <c r="H103" s="146" t="s">
        <v>34</v>
      </c>
      <c r="I103" s="216" t="s">
        <v>317</v>
      </c>
    </row>
    <row r="104" spans="1:9" s="118" customFormat="1" ht="34.5" customHeight="1">
      <c r="A104" s="145" t="s">
        <v>32</v>
      </c>
      <c r="B104" s="126" t="s">
        <v>944</v>
      </c>
      <c r="C104" s="144">
        <v>19913503</v>
      </c>
      <c r="D104" s="144">
        <v>19357833</v>
      </c>
      <c r="E104" s="144">
        <v>555670</v>
      </c>
      <c r="F104" s="144">
        <f>'[2]B2 GNBV'!F117</f>
        <v>19913503</v>
      </c>
      <c r="G104" s="144">
        <f t="shared" si="29"/>
        <v>0</v>
      </c>
      <c r="H104" s="146"/>
      <c r="I104" s="216" t="s">
        <v>317</v>
      </c>
    </row>
    <row r="105" spans="1:9" s="118" customFormat="1" ht="42" customHeight="1">
      <c r="A105" s="145" t="s">
        <v>270</v>
      </c>
      <c r="B105" s="126" t="s">
        <v>940</v>
      </c>
      <c r="C105" s="144">
        <f t="shared" ref="C105:F105" si="49">C106</f>
        <v>3382560000</v>
      </c>
      <c r="D105" s="144">
        <f t="shared" si="49"/>
        <v>3382560000</v>
      </c>
      <c r="E105" s="144">
        <f t="shared" si="49"/>
        <v>0</v>
      </c>
      <c r="F105" s="144">
        <f t="shared" si="49"/>
        <v>3382560000</v>
      </c>
      <c r="G105" s="144">
        <f t="shared" si="29"/>
        <v>0</v>
      </c>
      <c r="H105" s="146" t="s">
        <v>238</v>
      </c>
      <c r="I105" s="216"/>
    </row>
    <row r="106" spans="1:9" s="118" customFormat="1" ht="39.75" customHeight="1">
      <c r="A106" s="145" t="s">
        <v>32</v>
      </c>
      <c r="B106" s="126" t="s">
        <v>941</v>
      </c>
      <c r="C106" s="144">
        <f>D106+E106</f>
        <v>3382560000</v>
      </c>
      <c r="D106" s="144">
        <f>D107+D108</f>
        <v>3382560000</v>
      </c>
      <c r="E106" s="144"/>
      <c r="F106" s="144">
        <f>F107+F108</f>
        <v>3382560000</v>
      </c>
      <c r="G106" s="144">
        <f t="shared" si="29"/>
        <v>0</v>
      </c>
      <c r="H106" s="146"/>
      <c r="I106" s="216"/>
    </row>
    <row r="107" spans="1:9" s="118" customFormat="1" ht="164.25" customHeight="1">
      <c r="A107" s="145" t="s">
        <v>213</v>
      </c>
      <c r="B107" s="126" t="s">
        <v>945</v>
      </c>
      <c r="C107" s="144">
        <f>D107+E107</f>
        <v>1127200000</v>
      </c>
      <c r="D107" s="144">
        <f>1127200000</f>
        <v>1127200000</v>
      </c>
      <c r="E107" s="144"/>
      <c r="F107" s="144">
        <f>'[2]B2 GNBV'!F120</f>
        <v>1127200000</v>
      </c>
      <c r="G107" s="144">
        <f t="shared" si="29"/>
        <v>0</v>
      </c>
      <c r="H107" s="146"/>
      <c r="I107" s="216" t="s">
        <v>946</v>
      </c>
    </row>
    <row r="108" spans="1:9" s="118" customFormat="1" ht="69.75" customHeight="1">
      <c r="A108" s="145" t="s">
        <v>213</v>
      </c>
      <c r="B108" s="126" t="s">
        <v>942</v>
      </c>
      <c r="C108" s="144">
        <f>D108+E108</f>
        <v>2255360000</v>
      </c>
      <c r="D108" s="144">
        <v>2255360000</v>
      </c>
      <c r="E108" s="144"/>
      <c r="F108" s="144">
        <f>'[2]B2 GNBV'!F121</f>
        <v>2255360000</v>
      </c>
      <c r="G108" s="144">
        <f t="shared" si="29"/>
        <v>0</v>
      </c>
      <c r="H108" s="146"/>
      <c r="I108" s="216" t="s">
        <v>317</v>
      </c>
    </row>
    <row r="109" spans="1:9" s="118" customFormat="1" ht="36.75" customHeight="1">
      <c r="A109" s="145" t="s">
        <v>273</v>
      </c>
      <c r="B109" s="126" t="s">
        <v>947</v>
      </c>
      <c r="C109" s="144">
        <f t="shared" ref="C109:E109" si="50">C110</f>
        <v>662000</v>
      </c>
      <c r="D109" s="144">
        <f t="shared" si="50"/>
        <v>662000</v>
      </c>
      <c r="E109" s="144">
        <f t="shared" si="50"/>
        <v>0</v>
      </c>
      <c r="F109" s="144">
        <f>F110</f>
        <v>662000</v>
      </c>
      <c r="G109" s="144">
        <f t="shared" ref="G109:G158" si="51">C109-F109</f>
        <v>0</v>
      </c>
      <c r="H109" s="146" t="s">
        <v>238</v>
      </c>
      <c r="I109" s="216" t="s">
        <v>948</v>
      </c>
    </row>
    <row r="110" spans="1:9" s="118" customFormat="1" ht="38.25" customHeight="1">
      <c r="A110" s="145" t="s">
        <v>32</v>
      </c>
      <c r="B110" s="126" t="s">
        <v>307</v>
      </c>
      <c r="C110" s="144">
        <f>D110+E110</f>
        <v>662000</v>
      </c>
      <c r="D110" s="144">
        <v>662000</v>
      </c>
      <c r="E110" s="144"/>
      <c r="F110" s="144">
        <f>'[2]B2 GNBV'!F123</f>
        <v>662000</v>
      </c>
      <c r="G110" s="144">
        <f t="shared" si="51"/>
        <v>0</v>
      </c>
      <c r="H110" s="146"/>
      <c r="I110" s="216"/>
    </row>
    <row r="111" spans="1:9" s="118" customFormat="1" ht="36.75" customHeight="1">
      <c r="A111" s="145" t="s">
        <v>312</v>
      </c>
      <c r="B111" s="126" t="s">
        <v>929</v>
      </c>
      <c r="C111" s="144">
        <v>206200000</v>
      </c>
      <c r="D111" s="144">
        <v>200000000</v>
      </c>
      <c r="E111" s="144">
        <v>6200000</v>
      </c>
      <c r="F111" s="144">
        <f>'[2]B2 GNBV'!F122</f>
        <v>206200000</v>
      </c>
      <c r="G111" s="144">
        <f t="shared" si="51"/>
        <v>0</v>
      </c>
      <c r="H111" s="146" t="s">
        <v>34</v>
      </c>
      <c r="I111" s="216" t="s">
        <v>317</v>
      </c>
    </row>
    <row r="112" spans="1:9" s="118" customFormat="1" ht="24" customHeight="1">
      <c r="A112" s="457">
        <v>3</v>
      </c>
      <c r="B112" s="458" t="s">
        <v>21</v>
      </c>
      <c r="C112" s="459">
        <f>D112+E112</f>
        <v>2855675000</v>
      </c>
      <c r="D112" s="459">
        <f>D113+D118+D119+D121</f>
        <v>2820875000</v>
      </c>
      <c r="E112" s="459">
        <f>E113+E118+E119+E121</f>
        <v>34800000</v>
      </c>
      <c r="F112" s="459">
        <f>F113+F118+F119+F121</f>
        <v>2855675000</v>
      </c>
      <c r="G112" s="459">
        <f t="shared" si="51"/>
        <v>0</v>
      </c>
      <c r="H112" s="461"/>
      <c r="I112" s="460"/>
    </row>
    <row r="113" spans="1:9" s="118" customFormat="1" ht="36" customHeight="1">
      <c r="A113" s="145" t="s">
        <v>877</v>
      </c>
      <c r="B113" s="126" t="s">
        <v>940</v>
      </c>
      <c r="C113" s="144">
        <f>C114+C117</f>
        <v>1636000000</v>
      </c>
      <c r="D113" s="144">
        <f>D114+D117</f>
        <v>1627000000</v>
      </c>
      <c r="E113" s="144">
        <f>E114+E117</f>
        <v>9000000</v>
      </c>
      <c r="F113" s="144">
        <f>F114+F117</f>
        <v>1636000000</v>
      </c>
      <c r="G113" s="144">
        <f t="shared" si="51"/>
        <v>0</v>
      </c>
      <c r="H113" s="146" t="s">
        <v>238</v>
      </c>
      <c r="I113" s="216"/>
    </row>
    <row r="114" spans="1:9" s="118" customFormat="1" ht="36.75" customHeight="1">
      <c r="A114" s="145" t="s">
        <v>32</v>
      </c>
      <c r="B114" s="126" t="s">
        <v>941</v>
      </c>
      <c r="C114" s="144">
        <f>C115+C116</f>
        <v>1336000000</v>
      </c>
      <c r="D114" s="144">
        <v>1336000000</v>
      </c>
      <c r="E114" s="144">
        <f>E115+E116</f>
        <v>0</v>
      </c>
      <c r="F114" s="144">
        <f>F115+F116</f>
        <v>1336000000</v>
      </c>
      <c r="G114" s="144">
        <f t="shared" si="51"/>
        <v>0</v>
      </c>
      <c r="H114" s="146"/>
      <c r="I114" s="216"/>
    </row>
    <row r="115" spans="1:9" s="118" customFormat="1" ht="38.25" customHeight="1">
      <c r="A115" s="145" t="s">
        <v>213</v>
      </c>
      <c r="B115" s="126" t="s">
        <v>949</v>
      </c>
      <c r="C115" s="144"/>
      <c r="D115" s="144"/>
      <c r="E115" s="144"/>
      <c r="F115" s="144"/>
      <c r="G115" s="144">
        <f t="shared" si="51"/>
        <v>0</v>
      </c>
      <c r="H115" s="146"/>
      <c r="I115" s="216"/>
    </row>
    <row r="116" spans="1:9" s="118" customFormat="1" ht="70.5" customHeight="1">
      <c r="A116" s="145" t="s">
        <v>213</v>
      </c>
      <c r="B116" s="126" t="s">
        <v>942</v>
      </c>
      <c r="C116" s="144">
        <v>1336000000</v>
      </c>
      <c r="D116" s="144">
        <v>1336000000</v>
      </c>
      <c r="E116" s="144">
        <v>0</v>
      </c>
      <c r="F116" s="144">
        <v>1336000000</v>
      </c>
      <c r="G116" s="144">
        <f t="shared" si="51"/>
        <v>0</v>
      </c>
      <c r="H116" s="146"/>
      <c r="I116" s="216" t="s">
        <v>950</v>
      </c>
    </row>
    <row r="117" spans="1:9" s="118" customFormat="1" ht="31.5">
      <c r="A117" s="145" t="s">
        <v>32</v>
      </c>
      <c r="B117" s="126" t="s">
        <v>951</v>
      </c>
      <c r="C117" s="144">
        <f>D117+E117</f>
        <v>300000000</v>
      </c>
      <c r="D117" s="144">
        <v>291000000</v>
      </c>
      <c r="E117" s="144">
        <v>9000000</v>
      </c>
      <c r="F117" s="144">
        <v>300000000</v>
      </c>
      <c r="G117" s="144">
        <f t="shared" si="51"/>
        <v>0</v>
      </c>
      <c r="H117" s="146" t="s">
        <v>34</v>
      </c>
      <c r="I117" s="216" t="s">
        <v>952</v>
      </c>
    </row>
    <row r="118" spans="1:9" s="118" customFormat="1" ht="46.5" customHeight="1">
      <c r="A118" s="145" t="s">
        <v>953</v>
      </c>
      <c r="B118" s="126" t="s">
        <v>929</v>
      </c>
      <c r="C118" s="144">
        <f>D118+E118</f>
        <v>885800000</v>
      </c>
      <c r="D118" s="144">
        <f>900000000-40000000</f>
        <v>860000000</v>
      </c>
      <c r="E118" s="144">
        <f>27000000-1200000</f>
        <v>25800000</v>
      </c>
      <c r="F118" s="144">
        <v>885800000</v>
      </c>
      <c r="G118" s="144">
        <f t="shared" si="51"/>
        <v>0</v>
      </c>
      <c r="H118" s="146" t="s">
        <v>34</v>
      </c>
      <c r="I118" s="216" t="s">
        <v>930</v>
      </c>
    </row>
    <row r="119" spans="1:9" s="118" customFormat="1" ht="38.25" customHeight="1">
      <c r="A119" s="145" t="s">
        <v>954</v>
      </c>
      <c r="B119" s="126" t="s">
        <v>298</v>
      </c>
      <c r="C119" s="144">
        <f t="shared" ref="C119:F119" si="52">C120</f>
        <v>90025000</v>
      </c>
      <c r="D119" s="144">
        <f t="shared" si="52"/>
        <v>90025000</v>
      </c>
      <c r="E119" s="144">
        <f t="shared" si="52"/>
        <v>0</v>
      </c>
      <c r="F119" s="144">
        <f t="shared" si="52"/>
        <v>90025000</v>
      </c>
      <c r="G119" s="144">
        <f t="shared" si="51"/>
        <v>0</v>
      </c>
      <c r="H119" s="146" t="s">
        <v>299</v>
      </c>
      <c r="I119" s="216" t="s">
        <v>955</v>
      </c>
    </row>
    <row r="120" spans="1:9" s="118" customFormat="1" ht="23.25" customHeight="1">
      <c r="A120" s="145" t="s">
        <v>32</v>
      </c>
      <c r="B120" s="126" t="s">
        <v>931</v>
      </c>
      <c r="C120" s="144">
        <f>D120+E120</f>
        <v>90025000</v>
      </c>
      <c r="D120" s="144">
        <v>90025000</v>
      </c>
      <c r="E120" s="144"/>
      <c r="F120" s="144">
        <v>90025000</v>
      </c>
      <c r="G120" s="144">
        <f t="shared" si="51"/>
        <v>0</v>
      </c>
      <c r="H120" s="146"/>
      <c r="I120" s="216"/>
    </row>
    <row r="121" spans="1:9" s="118" customFormat="1" ht="38.25" customHeight="1">
      <c r="A121" s="145" t="s">
        <v>956</v>
      </c>
      <c r="B121" s="126" t="s">
        <v>947</v>
      </c>
      <c r="C121" s="144">
        <f t="shared" ref="C121:E121" si="53">C122</f>
        <v>243850000</v>
      </c>
      <c r="D121" s="144">
        <f t="shared" si="53"/>
        <v>243850000</v>
      </c>
      <c r="E121" s="144">
        <f t="shared" si="53"/>
        <v>0</v>
      </c>
      <c r="F121" s="144">
        <v>243850000</v>
      </c>
      <c r="G121" s="144">
        <f t="shared" si="51"/>
        <v>0</v>
      </c>
      <c r="H121" s="146" t="s">
        <v>238</v>
      </c>
      <c r="I121" s="216" t="s">
        <v>957</v>
      </c>
    </row>
    <row r="122" spans="1:9" s="118" customFormat="1" ht="38.25" customHeight="1">
      <c r="A122" s="483" t="s">
        <v>32</v>
      </c>
      <c r="B122" s="449" t="s">
        <v>307</v>
      </c>
      <c r="C122" s="484">
        <f>D122+E122</f>
        <v>243850000</v>
      </c>
      <c r="D122" s="484">
        <v>243850000</v>
      </c>
      <c r="E122" s="484">
        <v>0</v>
      </c>
      <c r="F122" s="484">
        <v>243850000</v>
      </c>
      <c r="G122" s="484">
        <f t="shared" si="51"/>
        <v>0</v>
      </c>
      <c r="H122" s="485"/>
      <c r="I122" s="446"/>
    </row>
    <row r="123" spans="1:9" s="118" customFormat="1" ht="24" customHeight="1">
      <c r="A123" s="457" t="s">
        <v>281</v>
      </c>
      <c r="B123" s="458" t="s">
        <v>277</v>
      </c>
      <c r="C123" s="459">
        <f>C124+C132</f>
        <v>3392328625</v>
      </c>
      <c r="D123" s="459">
        <f t="shared" ref="D123:E123" si="54">D124+D132</f>
        <v>3234295625</v>
      </c>
      <c r="E123" s="459">
        <f t="shared" si="54"/>
        <v>158033000</v>
      </c>
      <c r="F123" s="459"/>
      <c r="G123" s="459">
        <f t="shared" si="51"/>
        <v>3392328625</v>
      </c>
      <c r="H123" s="461"/>
      <c r="I123" s="460" t="s">
        <v>958</v>
      </c>
    </row>
    <row r="124" spans="1:9" s="118" customFormat="1" ht="41.25" customHeight="1">
      <c r="A124" s="251">
        <v>1</v>
      </c>
      <c r="B124" s="462" t="s">
        <v>43</v>
      </c>
      <c r="C124" s="486">
        <f>C125+C126+C128</f>
        <v>2988328625</v>
      </c>
      <c r="D124" s="486">
        <f t="shared" ref="D124:E124" si="55">D125+D126+D128</f>
        <v>2895295625</v>
      </c>
      <c r="E124" s="486">
        <f t="shared" si="55"/>
        <v>93033000</v>
      </c>
      <c r="F124" s="486"/>
      <c r="G124" s="486">
        <f t="shared" si="51"/>
        <v>2988328625</v>
      </c>
      <c r="H124" s="251"/>
      <c r="I124" s="441"/>
    </row>
    <row r="125" spans="1:9" s="118" customFormat="1" ht="52.5" customHeight="1">
      <c r="A125" s="143" t="s">
        <v>173</v>
      </c>
      <c r="B125" s="126" t="s">
        <v>264</v>
      </c>
      <c r="C125" s="144">
        <f>SUM(D125:E125)</f>
        <v>658158288</v>
      </c>
      <c r="D125" s="144">
        <f>30619088+596506200</f>
        <v>627125288</v>
      </c>
      <c r="E125" s="144">
        <f>15000000+16033000</f>
        <v>31033000</v>
      </c>
      <c r="F125" s="144"/>
      <c r="G125" s="144">
        <f t="shared" si="51"/>
        <v>658158288</v>
      </c>
      <c r="H125" s="143" t="s">
        <v>34</v>
      </c>
      <c r="I125" s="216" t="s">
        <v>278</v>
      </c>
    </row>
    <row r="126" spans="1:9" s="118" customFormat="1" ht="21" customHeight="1">
      <c r="A126" s="143" t="s">
        <v>180</v>
      </c>
      <c r="B126" s="126" t="s">
        <v>271</v>
      </c>
      <c r="C126" s="144">
        <f>C127</f>
        <v>50470350</v>
      </c>
      <c r="D126" s="144">
        <f t="shared" ref="D126:E126" si="56">D127</f>
        <v>50470350</v>
      </c>
      <c r="E126" s="144">
        <f t="shared" si="56"/>
        <v>0</v>
      </c>
      <c r="F126" s="144"/>
      <c r="G126" s="144">
        <f t="shared" si="51"/>
        <v>50470350</v>
      </c>
      <c r="H126" s="143"/>
      <c r="I126" s="216"/>
    </row>
    <row r="127" spans="1:9" s="118" customFormat="1" ht="23.25" customHeight="1">
      <c r="A127" s="143" t="s">
        <v>32</v>
      </c>
      <c r="B127" s="126" t="s">
        <v>209</v>
      </c>
      <c r="C127" s="144">
        <f>SUM(D127:E127)</f>
        <v>50470350</v>
      </c>
      <c r="D127" s="144">
        <v>50470350</v>
      </c>
      <c r="E127" s="144"/>
      <c r="F127" s="144"/>
      <c r="G127" s="144">
        <f t="shared" si="51"/>
        <v>50470350</v>
      </c>
      <c r="H127" s="143" t="s">
        <v>245</v>
      </c>
      <c r="I127" s="216" t="s">
        <v>279</v>
      </c>
    </row>
    <row r="128" spans="1:9" s="118" customFormat="1" ht="34.5" customHeight="1">
      <c r="A128" s="143" t="s">
        <v>249</v>
      </c>
      <c r="B128" s="126" t="s">
        <v>265</v>
      </c>
      <c r="C128" s="144">
        <f>C129</f>
        <v>2279699987</v>
      </c>
      <c r="D128" s="144">
        <f t="shared" ref="D128:E128" si="57">D129</f>
        <v>2217699987</v>
      </c>
      <c r="E128" s="144">
        <f t="shared" si="57"/>
        <v>62000000</v>
      </c>
      <c r="F128" s="144"/>
      <c r="G128" s="144">
        <f t="shared" si="51"/>
        <v>2279699987</v>
      </c>
      <c r="H128" s="143"/>
      <c r="I128" s="216"/>
    </row>
    <row r="129" spans="1:9" s="118" customFormat="1" ht="42" customHeight="1">
      <c r="A129" s="145" t="s">
        <v>32</v>
      </c>
      <c r="B129" s="126" t="s">
        <v>212</v>
      </c>
      <c r="C129" s="144">
        <f>SUM(D129:E129)</f>
        <v>2279699987</v>
      </c>
      <c r="D129" s="144">
        <f>5899000+1223000000+988800987</f>
        <v>2217699987</v>
      </c>
      <c r="E129" s="144">
        <f>37000000+25000000</f>
        <v>62000000</v>
      </c>
      <c r="F129" s="144"/>
      <c r="G129" s="144">
        <f t="shared" si="51"/>
        <v>2279699987</v>
      </c>
      <c r="H129" s="146" t="s">
        <v>238</v>
      </c>
      <c r="I129" s="216"/>
    </row>
    <row r="130" spans="1:9" s="124" customFormat="1" ht="63">
      <c r="A130" s="147" t="s">
        <v>213</v>
      </c>
      <c r="B130" s="123" t="s">
        <v>214</v>
      </c>
      <c r="C130" s="148">
        <v>1019699987</v>
      </c>
      <c r="D130" s="148">
        <v>994699987</v>
      </c>
      <c r="E130" s="148">
        <v>25000000</v>
      </c>
      <c r="F130" s="148"/>
      <c r="G130" s="148">
        <f t="shared" si="51"/>
        <v>1019699987</v>
      </c>
      <c r="H130" s="149"/>
      <c r="I130" s="216" t="s">
        <v>274</v>
      </c>
    </row>
    <row r="131" spans="1:9" s="124" customFormat="1" ht="101.25" customHeight="1">
      <c r="A131" s="147" t="s">
        <v>213</v>
      </c>
      <c r="B131" s="123" t="s">
        <v>275</v>
      </c>
      <c r="C131" s="148">
        <v>1260000000</v>
      </c>
      <c r="D131" s="148">
        <v>1223000000</v>
      </c>
      <c r="E131" s="148">
        <v>37000000</v>
      </c>
      <c r="F131" s="148"/>
      <c r="G131" s="148">
        <f t="shared" si="51"/>
        <v>1260000000</v>
      </c>
      <c r="H131" s="149"/>
      <c r="I131" s="216" t="s">
        <v>217</v>
      </c>
    </row>
    <row r="132" spans="1:9" s="118" customFormat="1" ht="26.25" customHeight="1">
      <c r="A132" s="78">
        <v>2</v>
      </c>
      <c r="B132" s="150" t="s">
        <v>21</v>
      </c>
      <c r="C132" s="151">
        <f>C133</f>
        <v>404000000</v>
      </c>
      <c r="D132" s="151">
        <f t="shared" ref="D132:E133" si="58">D133</f>
        <v>339000000</v>
      </c>
      <c r="E132" s="151">
        <f t="shared" si="58"/>
        <v>65000000</v>
      </c>
      <c r="F132" s="151"/>
      <c r="G132" s="151">
        <f t="shared" si="51"/>
        <v>404000000</v>
      </c>
      <c r="H132" s="78"/>
      <c r="I132" s="216"/>
    </row>
    <row r="133" spans="1:9" s="118" customFormat="1" ht="36" customHeight="1">
      <c r="A133" s="143" t="s">
        <v>269</v>
      </c>
      <c r="B133" s="126" t="s">
        <v>265</v>
      </c>
      <c r="C133" s="144">
        <f>C134</f>
        <v>404000000</v>
      </c>
      <c r="D133" s="144">
        <f t="shared" si="58"/>
        <v>339000000</v>
      </c>
      <c r="E133" s="144">
        <f t="shared" si="58"/>
        <v>65000000</v>
      </c>
      <c r="F133" s="144"/>
      <c r="G133" s="144">
        <f t="shared" si="51"/>
        <v>404000000</v>
      </c>
      <c r="H133" s="143"/>
      <c r="I133" s="216"/>
    </row>
    <row r="134" spans="1:9" s="118" customFormat="1" ht="44.25" customHeight="1">
      <c r="A134" s="145" t="s">
        <v>32</v>
      </c>
      <c r="B134" s="126" t="s">
        <v>212</v>
      </c>
      <c r="C134" s="144">
        <f>SUM(D134:E134)</f>
        <v>404000000</v>
      </c>
      <c r="D134" s="144">
        <v>339000000</v>
      </c>
      <c r="E134" s="144">
        <v>65000000</v>
      </c>
      <c r="F134" s="144"/>
      <c r="G134" s="144">
        <f t="shared" si="51"/>
        <v>404000000</v>
      </c>
      <c r="H134" s="146" t="s">
        <v>238</v>
      </c>
      <c r="I134" s="216" t="s">
        <v>280</v>
      </c>
    </row>
    <row r="135" spans="1:9" s="124" customFormat="1" ht="63">
      <c r="A135" s="487" t="s">
        <v>213</v>
      </c>
      <c r="B135" s="468" t="s">
        <v>214</v>
      </c>
      <c r="C135" s="488">
        <v>404000000</v>
      </c>
      <c r="D135" s="488">
        <v>339000000</v>
      </c>
      <c r="E135" s="488">
        <v>65000000</v>
      </c>
      <c r="F135" s="488"/>
      <c r="G135" s="488">
        <f t="shared" si="51"/>
        <v>404000000</v>
      </c>
      <c r="H135" s="489"/>
      <c r="I135" s="446" t="s">
        <v>274</v>
      </c>
    </row>
    <row r="136" spans="1:9" s="118" customFormat="1" ht="30" customHeight="1">
      <c r="A136" s="457" t="s">
        <v>959</v>
      </c>
      <c r="B136" s="458" t="s">
        <v>340</v>
      </c>
      <c r="C136" s="459">
        <f>C137+C138+C141+C143</f>
        <v>5403741054</v>
      </c>
      <c r="D136" s="459">
        <f>D137+D138+D141+D143</f>
        <v>5217866645</v>
      </c>
      <c r="E136" s="459">
        <f>E137+E138+E141+E143</f>
        <v>185874409</v>
      </c>
      <c r="F136" s="459"/>
      <c r="G136" s="459">
        <f t="shared" si="51"/>
        <v>5403741054</v>
      </c>
      <c r="H136" s="461"/>
      <c r="I136" s="460" t="s">
        <v>958</v>
      </c>
    </row>
    <row r="137" spans="1:9" s="118" customFormat="1" ht="42" customHeight="1">
      <c r="A137" s="251">
        <v>1</v>
      </c>
      <c r="B137" s="490" t="s">
        <v>960</v>
      </c>
      <c r="C137" s="486">
        <f>SUM(D137:E137)</f>
        <v>380910935</v>
      </c>
      <c r="D137" s="486">
        <v>353826526</v>
      </c>
      <c r="E137" s="486">
        <v>27084409</v>
      </c>
      <c r="F137" s="486"/>
      <c r="G137" s="486">
        <f t="shared" si="51"/>
        <v>380910935</v>
      </c>
      <c r="H137" s="491" t="s">
        <v>34</v>
      </c>
      <c r="I137" s="441" t="s">
        <v>961</v>
      </c>
    </row>
    <row r="138" spans="1:9" s="118" customFormat="1" ht="46.5" customHeight="1">
      <c r="A138" s="492">
        <v>2</v>
      </c>
      <c r="B138" s="493" t="s">
        <v>206</v>
      </c>
      <c r="C138" s="151">
        <f>SUM(C139:C140)</f>
        <v>920650780</v>
      </c>
      <c r="D138" s="151">
        <f t="shared" ref="D138:E138" si="59">SUM(D139:D140)</f>
        <v>894860780</v>
      </c>
      <c r="E138" s="151">
        <f t="shared" si="59"/>
        <v>25790000</v>
      </c>
      <c r="F138" s="151"/>
      <c r="G138" s="151">
        <f t="shared" si="51"/>
        <v>920650780</v>
      </c>
      <c r="H138" s="84"/>
      <c r="I138" s="216"/>
    </row>
    <row r="139" spans="1:9" s="118" customFormat="1" ht="39.75" customHeight="1">
      <c r="A139" s="494"/>
      <c r="B139" s="495" t="s">
        <v>207</v>
      </c>
      <c r="C139" s="144">
        <f>SUM(D139:E139)</f>
        <v>735892320</v>
      </c>
      <c r="D139" s="144">
        <v>720402320</v>
      </c>
      <c r="E139" s="144">
        <v>15490000</v>
      </c>
      <c r="F139" s="144"/>
      <c r="G139" s="144">
        <f t="shared" si="51"/>
        <v>735892320</v>
      </c>
      <c r="H139" s="84" t="s">
        <v>34</v>
      </c>
      <c r="I139" s="216" t="s">
        <v>962</v>
      </c>
    </row>
    <row r="140" spans="1:9" s="124" customFormat="1" ht="25.5" customHeight="1">
      <c r="A140" s="496"/>
      <c r="B140" s="495" t="s">
        <v>244</v>
      </c>
      <c r="C140" s="144">
        <f>SUM(D140:E140)</f>
        <v>184758460</v>
      </c>
      <c r="D140" s="144">
        <v>174458460</v>
      </c>
      <c r="E140" s="144">
        <v>10300000</v>
      </c>
      <c r="F140" s="484"/>
      <c r="G140" s="144">
        <f t="shared" si="51"/>
        <v>184758460</v>
      </c>
      <c r="H140" s="497" t="s">
        <v>245</v>
      </c>
      <c r="I140" s="216" t="s">
        <v>963</v>
      </c>
    </row>
    <row r="141" spans="1:9" s="118" customFormat="1" ht="37.5" customHeight="1">
      <c r="A141" s="494">
        <v>3</v>
      </c>
      <c r="B141" s="493" t="s">
        <v>246</v>
      </c>
      <c r="C141" s="151">
        <f>C142</f>
        <v>4101179339</v>
      </c>
      <c r="D141" s="151">
        <f t="shared" ref="D141:E141" si="60">D142</f>
        <v>3969179339</v>
      </c>
      <c r="E141" s="151">
        <f t="shared" si="60"/>
        <v>132000000</v>
      </c>
      <c r="F141" s="151"/>
      <c r="G141" s="151">
        <f t="shared" si="51"/>
        <v>4101179339</v>
      </c>
      <c r="H141" s="84"/>
      <c r="I141" s="216"/>
    </row>
    <row r="142" spans="1:9" s="118" customFormat="1" ht="57.75" customHeight="1">
      <c r="A142" s="492"/>
      <c r="B142" s="495" t="s">
        <v>247</v>
      </c>
      <c r="C142" s="144">
        <f>SUM(D142:E142)</f>
        <v>4101179339</v>
      </c>
      <c r="D142" s="144">
        <v>3969179339</v>
      </c>
      <c r="E142" s="144">
        <v>132000000</v>
      </c>
      <c r="F142" s="144"/>
      <c r="G142" s="144">
        <f t="shared" si="51"/>
        <v>4101179339</v>
      </c>
      <c r="H142" s="84" t="s">
        <v>138</v>
      </c>
      <c r="I142" s="216" t="s">
        <v>274</v>
      </c>
    </row>
    <row r="143" spans="1:9" s="118" customFormat="1" ht="35.25" customHeight="1">
      <c r="A143" s="492">
        <v>4</v>
      </c>
      <c r="B143" s="493" t="s">
        <v>298</v>
      </c>
      <c r="C143" s="151">
        <f>C144</f>
        <v>1000000</v>
      </c>
      <c r="D143" s="151">
        <f t="shared" ref="D143:E143" si="61">D144</f>
        <v>0</v>
      </c>
      <c r="E143" s="151">
        <f t="shared" si="61"/>
        <v>1000000</v>
      </c>
      <c r="F143" s="151"/>
      <c r="G143" s="151">
        <f t="shared" si="51"/>
        <v>1000000</v>
      </c>
      <c r="H143" s="63"/>
      <c r="I143" s="216"/>
    </row>
    <row r="144" spans="1:9" s="118" customFormat="1" ht="42" customHeight="1">
      <c r="A144" s="477"/>
      <c r="B144" s="498" t="s">
        <v>964</v>
      </c>
      <c r="C144" s="499">
        <f>SUM(D144:E144)</f>
        <v>1000000</v>
      </c>
      <c r="D144" s="499">
        <v>0</v>
      </c>
      <c r="E144" s="499">
        <v>1000000</v>
      </c>
      <c r="F144" s="499"/>
      <c r="G144" s="499">
        <f t="shared" si="51"/>
        <v>1000000</v>
      </c>
      <c r="H144" s="171" t="s">
        <v>41</v>
      </c>
      <c r="I144" s="120" t="s">
        <v>342</v>
      </c>
    </row>
    <row r="145" spans="1:9" s="118" customFormat="1" ht="24" customHeight="1">
      <c r="A145" s="457" t="s">
        <v>965</v>
      </c>
      <c r="B145" s="458" t="s">
        <v>282</v>
      </c>
      <c r="C145" s="459">
        <f>C146+C153</f>
        <v>3543575590</v>
      </c>
      <c r="D145" s="459">
        <f>D146+D153</f>
        <v>3433575590</v>
      </c>
      <c r="E145" s="459">
        <f>E146+E153</f>
        <v>110000000</v>
      </c>
      <c r="F145" s="459"/>
      <c r="G145" s="459">
        <f t="shared" si="51"/>
        <v>3543575590</v>
      </c>
      <c r="H145" s="461"/>
      <c r="I145" s="460" t="str">
        <f>I123</f>
        <v>Không đề xuất điều chỉnh</v>
      </c>
    </row>
    <row r="146" spans="1:9" s="118" customFormat="1" ht="41.25" customHeight="1">
      <c r="A146" s="251">
        <v>1</v>
      </c>
      <c r="B146" s="462" t="s">
        <v>43</v>
      </c>
      <c r="C146" s="486">
        <f>C147+C149</f>
        <v>2237575590</v>
      </c>
      <c r="D146" s="486">
        <f>D147+D149</f>
        <v>2173575590</v>
      </c>
      <c r="E146" s="486">
        <f t="shared" ref="E146" si="62">E147+E149</f>
        <v>64000000</v>
      </c>
      <c r="F146" s="486"/>
      <c r="G146" s="486">
        <f t="shared" si="51"/>
        <v>2237575590</v>
      </c>
      <c r="H146" s="251"/>
      <c r="I146" s="441"/>
    </row>
    <row r="147" spans="1:9" s="118" customFormat="1" ht="30" customHeight="1">
      <c r="A147" s="143" t="s">
        <v>173</v>
      </c>
      <c r="B147" s="126" t="s">
        <v>271</v>
      </c>
      <c r="C147" s="144">
        <f>C148</f>
        <v>439605590</v>
      </c>
      <c r="D147" s="144">
        <f t="shared" ref="D147:E147" si="63">D148</f>
        <v>426605590</v>
      </c>
      <c r="E147" s="144">
        <f t="shared" si="63"/>
        <v>13000000</v>
      </c>
      <c r="F147" s="144"/>
      <c r="G147" s="144">
        <f t="shared" si="51"/>
        <v>439605590</v>
      </c>
      <c r="H147" s="143"/>
      <c r="I147" s="216"/>
    </row>
    <row r="148" spans="1:9" s="118" customFormat="1" ht="23.25" customHeight="1">
      <c r="A148" s="143" t="s">
        <v>32</v>
      </c>
      <c r="B148" s="126" t="s">
        <v>209</v>
      </c>
      <c r="C148" s="144">
        <f>SUM(D148:E148)</f>
        <v>439605590</v>
      </c>
      <c r="D148" s="144">
        <v>426605590</v>
      </c>
      <c r="E148" s="144">
        <v>13000000</v>
      </c>
      <c r="F148" s="144"/>
      <c r="G148" s="144">
        <f t="shared" si="51"/>
        <v>439605590</v>
      </c>
      <c r="H148" s="143" t="s">
        <v>245</v>
      </c>
      <c r="I148" s="216" t="s">
        <v>283</v>
      </c>
    </row>
    <row r="149" spans="1:9" s="118" customFormat="1" ht="39" customHeight="1">
      <c r="A149" s="143" t="s">
        <v>180</v>
      </c>
      <c r="B149" s="126" t="s">
        <v>265</v>
      </c>
      <c r="C149" s="144">
        <f>C150+C152</f>
        <v>1797970000</v>
      </c>
      <c r="D149" s="144">
        <f>D150+D152</f>
        <v>1746970000</v>
      </c>
      <c r="E149" s="144">
        <f t="shared" ref="E149" si="64">E150+E152</f>
        <v>51000000</v>
      </c>
      <c r="F149" s="144"/>
      <c r="G149" s="144">
        <f t="shared" si="51"/>
        <v>1797970000</v>
      </c>
      <c r="H149" s="143"/>
      <c r="I149" s="216"/>
    </row>
    <row r="150" spans="1:9" s="118" customFormat="1" ht="39.75" customHeight="1">
      <c r="A150" s="145" t="s">
        <v>32</v>
      </c>
      <c r="B150" s="126" t="s">
        <v>212</v>
      </c>
      <c r="C150" s="144">
        <f>SUM(D150:E150)</f>
        <v>1484310000</v>
      </c>
      <c r="D150" s="144">
        <v>1433310000</v>
      </c>
      <c r="E150" s="144">
        <v>51000000</v>
      </c>
      <c r="F150" s="144"/>
      <c r="G150" s="144">
        <f t="shared" si="51"/>
        <v>1484310000</v>
      </c>
      <c r="H150" s="146" t="s">
        <v>238</v>
      </c>
      <c r="I150" s="216"/>
    </row>
    <row r="151" spans="1:9" s="124" customFormat="1" ht="71.25" customHeight="1">
      <c r="A151" s="147" t="s">
        <v>213</v>
      </c>
      <c r="B151" s="123" t="s">
        <v>214</v>
      </c>
      <c r="C151" s="148">
        <v>1484310000</v>
      </c>
      <c r="D151" s="148">
        <v>1433310000</v>
      </c>
      <c r="E151" s="148">
        <v>51000000</v>
      </c>
      <c r="F151" s="148"/>
      <c r="G151" s="148">
        <f t="shared" si="51"/>
        <v>1484310000</v>
      </c>
      <c r="H151" s="149"/>
      <c r="I151" s="216" t="s">
        <v>283</v>
      </c>
    </row>
    <row r="152" spans="1:9" s="118" customFormat="1" ht="22.5" customHeight="1">
      <c r="A152" s="145" t="s">
        <v>32</v>
      </c>
      <c r="B152" s="126" t="s">
        <v>220</v>
      </c>
      <c r="C152" s="144">
        <f>D152+E152</f>
        <v>313660000</v>
      </c>
      <c r="D152" s="144">
        <v>313660000</v>
      </c>
      <c r="E152" s="144"/>
      <c r="F152" s="144"/>
      <c r="G152" s="144">
        <f t="shared" si="51"/>
        <v>313660000</v>
      </c>
      <c r="H152" s="146"/>
      <c r="I152" s="216" t="s">
        <v>283</v>
      </c>
    </row>
    <row r="153" spans="1:9" s="118" customFormat="1" ht="22.5" customHeight="1">
      <c r="A153" s="78">
        <v>2</v>
      </c>
      <c r="B153" s="150" t="s">
        <v>21</v>
      </c>
      <c r="C153" s="151">
        <f>C154+C156</f>
        <v>1306000000</v>
      </c>
      <c r="D153" s="151">
        <f>D154+D156</f>
        <v>1260000000</v>
      </c>
      <c r="E153" s="151">
        <f>E154+E156</f>
        <v>46000000</v>
      </c>
      <c r="F153" s="151"/>
      <c r="G153" s="151">
        <f t="shared" si="51"/>
        <v>1306000000</v>
      </c>
      <c r="H153" s="78"/>
      <c r="I153" s="216"/>
    </row>
    <row r="154" spans="1:9" s="118" customFormat="1" ht="22.5" customHeight="1">
      <c r="A154" s="143" t="s">
        <v>269</v>
      </c>
      <c r="B154" s="126" t="s">
        <v>271</v>
      </c>
      <c r="C154" s="144">
        <f>C155</f>
        <v>256000000</v>
      </c>
      <c r="D154" s="144">
        <f t="shared" ref="D154:E154" si="65">D155</f>
        <v>248000000</v>
      </c>
      <c r="E154" s="144">
        <f t="shared" si="65"/>
        <v>8000000</v>
      </c>
      <c r="F154" s="144"/>
      <c r="G154" s="144">
        <f t="shared" si="51"/>
        <v>256000000</v>
      </c>
      <c r="H154" s="143"/>
      <c r="I154" s="216"/>
    </row>
    <row r="155" spans="1:9" s="118" customFormat="1" ht="22.5" customHeight="1">
      <c r="A155" s="143" t="s">
        <v>32</v>
      </c>
      <c r="B155" s="126" t="s">
        <v>209</v>
      </c>
      <c r="C155" s="144">
        <f>SUM(D155:E155)</f>
        <v>256000000</v>
      </c>
      <c r="D155" s="144">
        <v>248000000</v>
      </c>
      <c r="E155" s="144">
        <v>8000000</v>
      </c>
      <c r="F155" s="144"/>
      <c r="G155" s="144">
        <f t="shared" si="51"/>
        <v>256000000</v>
      </c>
      <c r="H155" s="143" t="s">
        <v>245</v>
      </c>
      <c r="I155" s="216" t="s">
        <v>283</v>
      </c>
    </row>
    <row r="156" spans="1:9" s="118" customFormat="1" ht="41.25" customHeight="1">
      <c r="A156" s="143" t="s">
        <v>270</v>
      </c>
      <c r="B156" s="126" t="s">
        <v>265</v>
      </c>
      <c r="C156" s="144">
        <f>C157</f>
        <v>1050000000</v>
      </c>
      <c r="D156" s="144">
        <f t="shared" ref="D156:E156" si="66">D157</f>
        <v>1012000000</v>
      </c>
      <c r="E156" s="144">
        <f t="shared" si="66"/>
        <v>38000000</v>
      </c>
      <c r="F156" s="144"/>
      <c r="G156" s="144">
        <f t="shared" si="51"/>
        <v>1050000000</v>
      </c>
      <c r="H156" s="143"/>
      <c r="I156" s="216"/>
    </row>
    <row r="157" spans="1:9" s="118" customFormat="1" ht="45.75" customHeight="1">
      <c r="A157" s="145" t="s">
        <v>32</v>
      </c>
      <c r="B157" s="126" t="s">
        <v>212</v>
      </c>
      <c r="C157" s="144">
        <f>SUM(D157:E157)</f>
        <v>1050000000</v>
      </c>
      <c r="D157" s="144">
        <v>1012000000</v>
      </c>
      <c r="E157" s="144">
        <v>38000000</v>
      </c>
      <c r="F157" s="144"/>
      <c r="G157" s="144">
        <f t="shared" si="51"/>
        <v>1050000000</v>
      </c>
      <c r="H157" s="146" t="s">
        <v>238</v>
      </c>
      <c r="I157" s="216" t="s">
        <v>283</v>
      </c>
    </row>
    <row r="158" spans="1:9" s="124" customFormat="1" ht="63">
      <c r="A158" s="152" t="s">
        <v>213</v>
      </c>
      <c r="B158" s="153" t="s">
        <v>214</v>
      </c>
      <c r="C158" s="154">
        <v>1050000000</v>
      </c>
      <c r="D158" s="154">
        <v>1012000000</v>
      </c>
      <c r="E158" s="154">
        <v>38000000</v>
      </c>
      <c r="F158" s="154"/>
      <c r="G158" s="154">
        <f t="shared" si="51"/>
        <v>1050000000</v>
      </c>
      <c r="H158" s="155"/>
      <c r="I158" s="120"/>
    </row>
  </sheetData>
  <mergeCells count="13">
    <mergeCell ref="I32:I35"/>
    <mergeCell ref="F6:F8"/>
    <mergeCell ref="G6:G8"/>
    <mergeCell ref="A9:B9"/>
    <mergeCell ref="A2:I2"/>
    <mergeCell ref="A3:I3"/>
    <mergeCell ref="A6:A8"/>
    <mergeCell ref="B6:B8"/>
    <mergeCell ref="C6:E6"/>
    <mergeCell ref="H6:H8"/>
    <mergeCell ref="I6:I8"/>
    <mergeCell ref="C7:C8"/>
    <mergeCell ref="D7:E7"/>
  </mergeCells>
  <pageMargins left="0.55118110236220474" right="0.43307086614173229" top="0.47244094488188981" bottom="0.55118110236220474" header="0.31496062992125984" footer="0.31496062992125984"/>
  <pageSetup paperSize="9" scale="56" fitToHeight="0" orientation="landscape" verticalDpi="0"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R172"/>
  <sheetViews>
    <sheetView topLeftCell="B1" zoomScale="85" zoomScaleNormal="85" workbookViewId="0">
      <selection activeCell="N9" sqref="N9"/>
    </sheetView>
  </sheetViews>
  <sheetFormatPr defaultColWidth="9" defaultRowHeight="15.75"/>
  <cols>
    <col min="1" max="1" width="6.625" style="1" customWidth="1"/>
    <col min="2" max="2" width="30.5" style="1" customWidth="1"/>
    <col min="3" max="14" width="15.75" style="1" customWidth="1"/>
    <col min="15" max="15" width="18.875" style="1" customWidth="1"/>
    <col min="16" max="18" width="20.125" style="1" customWidth="1"/>
    <col min="19" max="16384" width="9" style="1"/>
  </cols>
  <sheetData>
    <row r="1" spans="1:18" ht="22.5" customHeight="1">
      <c r="N1" s="695" t="s">
        <v>22</v>
      </c>
      <c r="O1" s="695"/>
    </row>
    <row r="2" spans="1:18" ht="26.25" customHeight="1">
      <c r="A2" s="695" t="s">
        <v>0</v>
      </c>
      <c r="B2" s="695"/>
      <c r="C2" s="695"/>
      <c r="D2" s="695"/>
      <c r="E2" s="695"/>
      <c r="F2" s="695"/>
      <c r="G2" s="695"/>
      <c r="H2" s="695"/>
      <c r="I2" s="695"/>
      <c r="J2" s="695"/>
      <c r="K2" s="695"/>
      <c r="L2" s="695"/>
      <c r="M2" s="695"/>
      <c r="N2" s="695"/>
      <c r="O2" s="695"/>
    </row>
    <row r="3" spans="1:18" ht="21" customHeight="1">
      <c r="A3" s="678" t="s">
        <v>1048</v>
      </c>
      <c r="B3" s="678"/>
      <c r="C3" s="678"/>
      <c r="D3" s="678"/>
      <c r="E3" s="678"/>
      <c r="F3" s="678"/>
      <c r="G3" s="678"/>
      <c r="H3" s="678"/>
      <c r="I3" s="678"/>
      <c r="J3" s="678"/>
      <c r="K3" s="678"/>
      <c r="L3" s="678"/>
      <c r="M3" s="678"/>
      <c r="N3" s="678"/>
      <c r="O3" s="678"/>
    </row>
    <row r="5" spans="1:18" ht="21" customHeight="1">
      <c r="N5" s="696" t="s">
        <v>23</v>
      </c>
      <c r="O5" s="696"/>
    </row>
    <row r="6" spans="1:18" ht="27.75" customHeight="1">
      <c r="A6" s="694" t="s">
        <v>1</v>
      </c>
      <c r="B6" s="694" t="s">
        <v>2</v>
      </c>
      <c r="C6" s="694" t="s">
        <v>6</v>
      </c>
      <c r="D6" s="694"/>
      <c r="E6" s="694"/>
      <c r="F6" s="694" t="s">
        <v>3</v>
      </c>
      <c r="G6" s="694"/>
      <c r="H6" s="694"/>
      <c r="I6" s="694"/>
      <c r="J6" s="694"/>
      <c r="K6" s="694"/>
      <c r="L6" s="694" t="s">
        <v>7</v>
      </c>
      <c r="M6" s="694"/>
      <c r="N6" s="694"/>
      <c r="O6" s="694" t="s">
        <v>24</v>
      </c>
    </row>
    <row r="7" spans="1:18" ht="27.75" customHeight="1">
      <c r="A7" s="694"/>
      <c r="B7" s="694"/>
      <c r="C7" s="694" t="s">
        <v>10</v>
      </c>
      <c r="D7" s="694" t="s">
        <v>11</v>
      </c>
      <c r="E7" s="694"/>
      <c r="F7" s="694" t="s">
        <v>5</v>
      </c>
      <c r="G7" s="694"/>
      <c r="H7" s="694"/>
      <c r="I7" s="694" t="s">
        <v>4</v>
      </c>
      <c r="J7" s="694"/>
      <c r="K7" s="694"/>
      <c r="L7" s="694" t="s">
        <v>10</v>
      </c>
      <c r="M7" s="694" t="s">
        <v>11</v>
      </c>
      <c r="N7" s="694"/>
      <c r="O7" s="694"/>
    </row>
    <row r="8" spans="1:18" ht="34.5" customHeight="1">
      <c r="A8" s="694"/>
      <c r="B8" s="694"/>
      <c r="C8" s="694"/>
      <c r="D8" s="3" t="str">
        <f>'PL1-TH dư nguồn DTTS'!D8</f>
        <v>Ngân sách trung ương</v>
      </c>
      <c r="E8" s="3" t="str">
        <f>'PL1-TH dư nguồn DTTS'!E8</f>
        <v>Ngân sách địa phương</v>
      </c>
      <c r="F8" s="3" t="s">
        <v>10</v>
      </c>
      <c r="G8" s="3" t="str">
        <f>D8</f>
        <v>Ngân sách trung ương</v>
      </c>
      <c r="H8" s="3" t="str">
        <f>E8</f>
        <v>Ngân sách địa phương</v>
      </c>
      <c r="I8" s="3" t="s">
        <v>10</v>
      </c>
      <c r="J8" s="3" t="str">
        <f>G8</f>
        <v>Ngân sách trung ương</v>
      </c>
      <c r="K8" s="3" t="str">
        <f>H8</f>
        <v>Ngân sách địa phương</v>
      </c>
      <c r="L8" s="694"/>
      <c r="M8" s="3" t="str">
        <f>J8</f>
        <v>Ngân sách trung ương</v>
      </c>
      <c r="N8" s="3" t="str">
        <f>K8</f>
        <v>Ngân sách địa phương</v>
      </c>
      <c r="O8" s="694"/>
    </row>
    <row r="9" spans="1:18" s="13" customFormat="1" ht="18.75" customHeight="1">
      <c r="A9" s="11">
        <v>1</v>
      </c>
      <c r="B9" s="12">
        <v>2</v>
      </c>
      <c r="C9" s="11" t="s">
        <v>12</v>
      </c>
      <c r="D9" s="12">
        <v>4</v>
      </c>
      <c r="E9" s="11">
        <v>5</v>
      </c>
      <c r="F9" s="12" t="s">
        <v>13</v>
      </c>
      <c r="G9" s="11" t="s">
        <v>14</v>
      </c>
      <c r="H9" s="12" t="s">
        <v>15</v>
      </c>
      <c r="I9" s="11" t="s">
        <v>16</v>
      </c>
      <c r="J9" s="12" t="s">
        <v>17</v>
      </c>
      <c r="K9" s="11" t="s">
        <v>18</v>
      </c>
      <c r="L9" s="12" t="s">
        <v>19</v>
      </c>
      <c r="M9" s="11" t="s">
        <v>26</v>
      </c>
      <c r="N9" s="12" t="s">
        <v>27</v>
      </c>
      <c r="O9" s="11">
        <v>15</v>
      </c>
    </row>
    <row r="10" spans="1:18" s="2" customFormat="1" ht="33" customHeight="1">
      <c r="A10" s="677" t="s">
        <v>25</v>
      </c>
      <c r="B10" s="677"/>
      <c r="C10" s="17">
        <f t="shared" ref="C10:N10" si="0">C33+C43+C49+C70+C82+C94+C115+C154</f>
        <v>241561431773</v>
      </c>
      <c r="D10" s="17">
        <f t="shared" si="0"/>
        <v>235395982001</v>
      </c>
      <c r="E10" s="17">
        <f t="shared" si="0"/>
        <v>6165449772</v>
      </c>
      <c r="F10" s="17">
        <f t="shared" si="0"/>
        <v>104326379877</v>
      </c>
      <c r="G10" s="17">
        <f t="shared" si="0"/>
        <v>103696508867</v>
      </c>
      <c r="H10" s="17">
        <f t="shared" si="0"/>
        <v>629871010</v>
      </c>
      <c r="I10" s="17">
        <f t="shared" si="0"/>
        <v>104326379877</v>
      </c>
      <c r="J10" s="17">
        <f t="shared" si="0"/>
        <v>103696508867</v>
      </c>
      <c r="K10" s="17">
        <f t="shared" si="0"/>
        <v>629871010</v>
      </c>
      <c r="L10" s="17">
        <f t="shared" si="0"/>
        <v>241561431773</v>
      </c>
      <c r="M10" s="17">
        <f t="shared" si="0"/>
        <v>235395982001</v>
      </c>
      <c r="N10" s="17">
        <f t="shared" si="0"/>
        <v>6165449772</v>
      </c>
      <c r="O10" s="77"/>
      <c r="P10" s="35"/>
      <c r="Q10" s="35"/>
      <c r="R10" s="35"/>
    </row>
    <row r="11" spans="1:18" ht="28.5" customHeight="1">
      <c r="A11" s="423"/>
      <c r="B11" s="212" t="s">
        <v>319</v>
      </c>
      <c r="C11" s="213">
        <f>C12+C15+C18+C20+C24+C25+C26+C28</f>
        <v>241561431773</v>
      </c>
      <c r="D11" s="213">
        <f t="shared" ref="D11:N11" si="1">D12+D15+D18+D20+D24+D25+D26+D28</f>
        <v>235395982001</v>
      </c>
      <c r="E11" s="213">
        <f t="shared" si="1"/>
        <v>6165449772</v>
      </c>
      <c r="F11" s="213">
        <f t="shared" si="1"/>
        <v>104326379877</v>
      </c>
      <c r="G11" s="213">
        <f t="shared" si="1"/>
        <v>103696508867</v>
      </c>
      <c r="H11" s="213">
        <f t="shared" si="1"/>
        <v>629871010</v>
      </c>
      <c r="I11" s="213">
        <f t="shared" si="1"/>
        <v>104326379877</v>
      </c>
      <c r="J11" s="213">
        <f t="shared" si="1"/>
        <v>103696508867</v>
      </c>
      <c r="K11" s="213">
        <f t="shared" si="1"/>
        <v>629871010</v>
      </c>
      <c r="L11" s="213">
        <f t="shared" si="1"/>
        <v>241561431773</v>
      </c>
      <c r="M11" s="213">
        <f t="shared" si="1"/>
        <v>235395982001</v>
      </c>
      <c r="N11" s="213">
        <f t="shared" si="1"/>
        <v>6165449772</v>
      </c>
      <c r="O11" s="424"/>
    </row>
    <row r="12" spans="1:18" s="2" customFormat="1" ht="53.25" customHeight="1">
      <c r="A12" s="78">
        <v>1</v>
      </c>
      <c r="B12" s="422" t="s">
        <v>128</v>
      </c>
      <c r="C12" s="20">
        <f>SUM(C13:C14)</f>
        <v>8943962806</v>
      </c>
      <c r="D12" s="20">
        <f t="shared" ref="D12:N12" si="2">SUM(D13:D14)</f>
        <v>8608733326</v>
      </c>
      <c r="E12" s="20">
        <f t="shared" si="2"/>
        <v>335229480</v>
      </c>
      <c r="F12" s="20">
        <f t="shared" si="2"/>
        <v>3818849335</v>
      </c>
      <c r="G12" s="20">
        <f t="shared" si="2"/>
        <v>3673169855</v>
      </c>
      <c r="H12" s="20">
        <f t="shared" si="2"/>
        <v>145679480</v>
      </c>
      <c r="I12" s="20">
        <f t="shared" si="2"/>
        <v>90000000</v>
      </c>
      <c r="J12" s="20">
        <f t="shared" si="2"/>
        <v>90000000</v>
      </c>
      <c r="K12" s="20">
        <f t="shared" si="2"/>
        <v>0</v>
      </c>
      <c r="L12" s="20">
        <f t="shared" si="2"/>
        <v>5215113471</v>
      </c>
      <c r="M12" s="20">
        <f t="shared" si="2"/>
        <v>5025563471</v>
      </c>
      <c r="N12" s="20">
        <f t="shared" si="2"/>
        <v>189550000</v>
      </c>
      <c r="O12" s="20"/>
    </row>
    <row r="13" spans="1:18" s="86" customFormat="1" ht="53.25" customHeight="1">
      <c r="A13" s="252" t="s">
        <v>32</v>
      </c>
      <c r="B13" s="425" t="s">
        <v>93</v>
      </c>
      <c r="C13" s="218">
        <f>C36+C52+C118+C143</f>
        <v>5028980000</v>
      </c>
      <c r="D13" s="218">
        <f t="shared" ref="D13:N13" si="3">D36+D52+D118+D143</f>
        <v>4842388000</v>
      </c>
      <c r="E13" s="218">
        <f t="shared" si="3"/>
        <v>186592000</v>
      </c>
      <c r="F13" s="218">
        <f t="shared" si="3"/>
        <v>3191600000</v>
      </c>
      <c r="G13" s="218">
        <f t="shared" si="3"/>
        <v>3097808000</v>
      </c>
      <c r="H13" s="218">
        <f t="shared" si="3"/>
        <v>93792000</v>
      </c>
      <c r="I13" s="218">
        <f t="shared" si="3"/>
        <v>0</v>
      </c>
      <c r="J13" s="218">
        <f t="shared" si="3"/>
        <v>0</v>
      </c>
      <c r="K13" s="218">
        <f t="shared" si="3"/>
        <v>0</v>
      </c>
      <c r="L13" s="218">
        <f t="shared" si="3"/>
        <v>1837380000</v>
      </c>
      <c r="M13" s="218">
        <f t="shared" si="3"/>
        <v>1744580000</v>
      </c>
      <c r="N13" s="218">
        <f t="shared" si="3"/>
        <v>92800000</v>
      </c>
      <c r="O13" s="289" t="s">
        <v>923</v>
      </c>
    </row>
    <row r="14" spans="1:18" ht="36" customHeight="1">
      <c r="A14" s="252" t="s">
        <v>32</v>
      </c>
      <c r="B14" s="264" t="s">
        <v>372</v>
      </c>
      <c r="C14" s="18">
        <f>C53+C79+C119+C144</f>
        <v>3914982806</v>
      </c>
      <c r="D14" s="18">
        <f t="shared" ref="D14:N14" si="4">D53+D79+D119+D144</f>
        <v>3766345326</v>
      </c>
      <c r="E14" s="18">
        <f t="shared" si="4"/>
        <v>148637480</v>
      </c>
      <c r="F14" s="18">
        <f t="shared" si="4"/>
        <v>627249335</v>
      </c>
      <c r="G14" s="18">
        <f t="shared" si="4"/>
        <v>575361855</v>
      </c>
      <c r="H14" s="18">
        <f t="shared" si="4"/>
        <v>51887480</v>
      </c>
      <c r="I14" s="18">
        <f t="shared" si="4"/>
        <v>90000000</v>
      </c>
      <c r="J14" s="18">
        <f t="shared" si="4"/>
        <v>90000000</v>
      </c>
      <c r="K14" s="18">
        <f t="shared" si="4"/>
        <v>0</v>
      </c>
      <c r="L14" s="18">
        <f t="shared" si="4"/>
        <v>3377733471</v>
      </c>
      <c r="M14" s="18">
        <f t="shared" si="4"/>
        <v>3280983471</v>
      </c>
      <c r="N14" s="18">
        <f t="shared" si="4"/>
        <v>96750000</v>
      </c>
      <c r="O14" s="18" t="s">
        <v>34</v>
      </c>
    </row>
    <row r="15" spans="1:18" s="2" customFormat="1" ht="84.75" customHeight="1">
      <c r="A15" s="41">
        <v>2</v>
      </c>
      <c r="B15" s="43" t="s">
        <v>51</v>
      </c>
      <c r="C15" s="20">
        <f>SUM(C16:C17)</f>
        <v>179244088918</v>
      </c>
      <c r="D15" s="20">
        <f t="shared" ref="D15:N15" si="5">SUM(D16:D17)</f>
        <v>175372499678</v>
      </c>
      <c r="E15" s="20">
        <f t="shared" si="5"/>
        <v>3871589240</v>
      </c>
      <c r="F15" s="20">
        <f t="shared" si="5"/>
        <v>78222989926</v>
      </c>
      <c r="G15" s="20">
        <f t="shared" si="5"/>
        <v>78204363926</v>
      </c>
      <c r="H15" s="20">
        <f t="shared" si="5"/>
        <v>18626000</v>
      </c>
      <c r="I15" s="20">
        <f t="shared" si="5"/>
        <v>31012153770</v>
      </c>
      <c r="J15" s="20">
        <f t="shared" si="5"/>
        <v>30821737770</v>
      </c>
      <c r="K15" s="20">
        <f t="shared" si="5"/>
        <v>190416000</v>
      </c>
      <c r="L15" s="20">
        <f t="shared" si="5"/>
        <v>132033252762</v>
      </c>
      <c r="M15" s="20">
        <f t="shared" si="5"/>
        <v>127989873522</v>
      </c>
      <c r="N15" s="20">
        <f t="shared" si="5"/>
        <v>4043379240</v>
      </c>
      <c r="O15" s="20"/>
    </row>
    <row r="16" spans="1:18" s="86" customFormat="1" ht="84.75" customHeight="1">
      <c r="A16" s="38" t="s">
        <v>32</v>
      </c>
      <c r="B16" s="22" t="s">
        <v>33</v>
      </c>
      <c r="C16" s="218">
        <f>C38+C55+C73+C85+C97+C121+C146+C157+C170</f>
        <v>141202412598</v>
      </c>
      <c r="D16" s="218">
        <f t="shared" ref="D16:N16" si="6">D38+D55+D73+D85+D97+D121+D146+D157+D170</f>
        <v>141202412598</v>
      </c>
      <c r="E16" s="218">
        <f t="shared" si="6"/>
        <v>0</v>
      </c>
      <c r="F16" s="218">
        <f t="shared" si="6"/>
        <v>78063607926</v>
      </c>
      <c r="G16" s="218">
        <f t="shared" si="6"/>
        <v>78063607926</v>
      </c>
      <c r="H16" s="218">
        <f t="shared" si="6"/>
        <v>0</v>
      </c>
      <c r="I16" s="218">
        <f t="shared" si="6"/>
        <v>0</v>
      </c>
      <c r="J16" s="218">
        <f t="shared" si="6"/>
        <v>0</v>
      </c>
      <c r="K16" s="218">
        <f t="shared" si="6"/>
        <v>0</v>
      </c>
      <c r="L16" s="218">
        <f t="shared" si="6"/>
        <v>63138804672</v>
      </c>
      <c r="M16" s="218">
        <f t="shared" si="6"/>
        <v>63138804672</v>
      </c>
      <c r="N16" s="218">
        <f t="shared" si="6"/>
        <v>0</v>
      </c>
      <c r="O16" s="18" t="s">
        <v>34</v>
      </c>
    </row>
    <row r="17" spans="1:15" ht="100.5" customHeight="1">
      <c r="A17" s="38" t="s">
        <v>32</v>
      </c>
      <c r="B17" s="6" t="s">
        <v>52</v>
      </c>
      <c r="C17" s="18">
        <f>C46+C74+C111+C133+C153+C172</f>
        <v>38041676320</v>
      </c>
      <c r="D17" s="18">
        <f t="shared" ref="D17:N17" si="7">D46+D74+D111+D133+D153+D172</f>
        <v>34170087080</v>
      </c>
      <c r="E17" s="18">
        <f t="shared" si="7"/>
        <v>3871589240</v>
      </c>
      <c r="F17" s="18">
        <f t="shared" si="7"/>
        <v>159382000</v>
      </c>
      <c r="G17" s="18">
        <f t="shared" si="7"/>
        <v>140756000</v>
      </c>
      <c r="H17" s="18">
        <f t="shared" si="7"/>
        <v>18626000</v>
      </c>
      <c r="I17" s="18">
        <f t="shared" si="7"/>
        <v>31012153770</v>
      </c>
      <c r="J17" s="18">
        <f t="shared" si="7"/>
        <v>30821737770</v>
      </c>
      <c r="K17" s="18">
        <f t="shared" si="7"/>
        <v>190416000</v>
      </c>
      <c r="L17" s="18">
        <f t="shared" si="7"/>
        <v>68894448090</v>
      </c>
      <c r="M17" s="18">
        <f t="shared" si="7"/>
        <v>64851068850</v>
      </c>
      <c r="N17" s="18">
        <f t="shared" si="7"/>
        <v>4043379240</v>
      </c>
      <c r="O17" s="18" t="s">
        <v>34</v>
      </c>
    </row>
    <row r="18" spans="1:15" s="2" customFormat="1" ht="100.5" customHeight="1">
      <c r="A18" s="8">
        <v>3</v>
      </c>
      <c r="B18" s="9" t="s">
        <v>38</v>
      </c>
      <c r="C18" s="20">
        <f>C19</f>
        <v>10825399079</v>
      </c>
      <c r="D18" s="20">
        <f t="shared" ref="D18:N18" si="8">D19</f>
        <v>10270065457</v>
      </c>
      <c r="E18" s="20">
        <f t="shared" si="8"/>
        <v>555333622</v>
      </c>
      <c r="F18" s="20">
        <f t="shared" si="8"/>
        <v>0</v>
      </c>
      <c r="G18" s="20">
        <f t="shared" si="8"/>
        <v>0</v>
      </c>
      <c r="H18" s="20">
        <f t="shared" si="8"/>
        <v>0</v>
      </c>
      <c r="I18" s="20">
        <f t="shared" si="8"/>
        <v>67807617307</v>
      </c>
      <c r="J18" s="20">
        <f t="shared" si="8"/>
        <v>67385142297</v>
      </c>
      <c r="K18" s="20">
        <f t="shared" si="8"/>
        <v>422475010</v>
      </c>
      <c r="L18" s="20">
        <f t="shared" si="8"/>
        <v>78633016386</v>
      </c>
      <c r="M18" s="20">
        <f t="shared" si="8"/>
        <v>77655207754</v>
      </c>
      <c r="N18" s="20">
        <f t="shared" si="8"/>
        <v>977808632</v>
      </c>
      <c r="O18" s="20"/>
    </row>
    <row r="19" spans="1:15" ht="69" customHeight="1">
      <c r="A19" s="19" t="s">
        <v>32</v>
      </c>
      <c r="B19" s="6" t="s">
        <v>39</v>
      </c>
      <c r="C19" s="18">
        <f>C42+C68+C81+C93+C113+C135+C159+C166</f>
        <v>10825399079</v>
      </c>
      <c r="D19" s="18">
        <f t="shared" ref="D19:N19" si="9">D42+D68+D81+D93+D113+D135+D159+D166</f>
        <v>10270065457</v>
      </c>
      <c r="E19" s="18">
        <f t="shared" si="9"/>
        <v>555333622</v>
      </c>
      <c r="F19" s="18">
        <f t="shared" si="9"/>
        <v>0</v>
      </c>
      <c r="G19" s="18">
        <f t="shared" si="9"/>
        <v>0</v>
      </c>
      <c r="H19" s="18">
        <f t="shared" si="9"/>
        <v>0</v>
      </c>
      <c r="I19" s="18">
        <f t="shared" si="9"/>
        <v>67807617307</v>
      </c>
      <c r="J19" s="18">
        <f t="shared" si="9"/>
        <v>67385142297</v>
      </c>
      <c r="K19" s="18">
        <f t="shared" si="9"/>
        <v>422475010</v>
      </c>
      <c r="L19" s="18">
        <f t="shared" si="9"/>
        <v>78633016386</v>
      </c>
      <c r="M19" s="18">
        <f t="shared" si="9"/>
        <v>77655207754</v>
      </c>
      <c r="N19" s="18">
        <f t="shared" si="9"/>
        <v>977808632</v>
      </c>
      <c r="O19" s="18" t="s">
        <v>34</v>
      </c>
    </row>
    <row r="20" spans="1:15" s="2" customFormat="1" ht="51.75" customHeight="1">
      <c r="A20" s="8">
        <v>4</v>
      </c>
      <c r="B20" s="165" t="s">
        <v>85</v>
      </c>
      <c r="C20" s="20">
        <f>SUM(C21:C23)</f>
        <v>28359604522</v>
      </c>
      <c r="D20" s="20">
        <f t="shared" ref="D20:N20" si="10">SUM(D21:D23)</f>
        <v>27548018522</v>
      </c>
      <c r="E20" s="20">
        <f t="shared" si="10"/>
        <v>811586000</v>
      </c>
      <c r="F20" s="20">
        <f t="shared" si="10"/>
        <v>15426326968</v>
      </c>
      <c r="G20" s="20">
        <f t="shared" si="10"/>
        <v>15128392968</v>
      </c>
      <c r="H20" s="20">
        <f t="shared" si="10"/>
        <v>297934000</v>
      </c>
      <c r="I20" s="20">
        <f t="shared" si="10"/>
        <v>802000000</v>
      </c>
      <c r="J20" s="20">
        <f t="shared" si="10"/>
        <v>802000000</v>
      </c>
      <c r="K20" s="20">
        <f t="shared" si="10"/>
        <v>0</v>
      </c>
      <c r="L20" s="20">
        <f t="shared" si="10"/>
        <v>13735277554</v>
      </c>
      <c r="M20" s="20">
        <f t="shared" si="10"/>
        <v>13221625554</v>
      </c>
      <c r="N20" s="20">
        <f t="shared" si="10"/>
        <v>513652000</v>
      </c>
      <c r="O20" s="20"/>
    </row>
    <row r="21" spans="1:15" ht="117" customHeight="1">
      <c r="A21" s="5" t="s">
        <v>32</v>
      </c>
      <c r="B21" s="352" t="s">
        <v>365</v>
      </c>
      <c r="C21" s="18">
        <f>C137</f>
        <v>311231304</v>
      </c>
      <c r="D21" s="18">
        <f t="shared" ref="D21:N21" si="11">D137</f>
        <v>309131304</v>
      </c>
      <c r="E21" s="18">
        <f t="shared" si="11"/>
        <v>2100000</v>
      </c>
      <c r="F21" s="18">
        <f t="shared" si="11"/>
        <v>0</v>
      </c>
      <c r="G21" s="18">
        <f t="shared" si="11"/>
        <v>0</v>
      </c>
      <c r="H21" s="18">
        <f t="shared" si="11"/>
        <v>0</v>
      </c>
      <c r="I21" s="18">
        <f t="shared" si="11"/>
        <v>802000000</v>
      </c>
      <c r="J21" s="18">
        <f t="shared" si="11"/>
        <v>802000000</v>
      </c>
      <c r="K21" s="18">
        <f t="shared" si="11"/>
        <v>0</v>
      </c>
      <c r="L21" s="18">
        <f t="shared" si="11"/>
        <v>1113231304</v>
      </c>
      <c r="M21" s="18">
        <f t="shared" si="11"/>
        <v>1111131304</v>
      </c>
      <c r="N21" s="18">
        <f t="shared" si="11"/>
        <v>2100000</v>
      </c>
      <c r="O21" s="289" t="s">
        <v>37</v>
      </c>
    </row>
    <row r="22" spans="1:15" ht="67.5" customHeight="1">
      <c r="A22" s="5" t="s">
        <v>32</v>
      </c>
      <c r="B22" s="352" t="s">
        <v>36</v>
      </c>
      <c r="C22" s="18">
        <f>C40+C57+C87+C99+C123</f>
        <v>17351617731</v>
      </c>
      <c r="D22" s="18">
        <f t="shared" ref="D22:N22" si="12">D40+D57+D87+D99+D123</f>
        <v>16542131731</v>
      </c>
      <c r="E22" s="18">
        <f t="shared" si="12"/>
        <v>809486000</v>
      </c>
      <c r="F22" s="18">
        <f t="shared" si="12"/>
        <v>8058972481</v>
      </c>
      <c r="G22" s="18">
        <f t="shared" si="12"/>
        <v>7761038481</v>
      </c>
      <c r="H22" s="18">
        <f t="shared" si="12"/>
        <v>297934000</v>
      </c>
      <c r="I22" s="18">
        <f t="shared" si="12"/>
        <v>0</v>
      </c>
      <c r="J22" s="18">
        <f t="shared" si="12"/>
        <v>0</v>
      </c>
      <c r="K22" s="18">
        <f t="shared" si="12"/>
        <v>0</v>
      </c>
      <c r="L22" s="18">
        <f t="shared" si="12"/>
        <v>9292645250</v>
      </c>
      <c r="M22" s="18">
        <f t="shared" si="12"/>
        <v>8781093250</v>
      </c>
      <c r="N22" s="18">
        <f t="shared" si="12"/>
        <v>511552000</v>
      </c>
      <c r="O22" s="289" t="s">
        <v>37</v>
      </c>
    </row>
    <row r="23" spans="1:15" ht="51.75" customHeight="1">
      <c r="A23" s="5" t="s">
        <v>32</v>
      </c>
      <c r="B23" s="352" t="s">
        <v>68</v>
      </c>
      <c r="C23" s="18">
        <f>C58+C88+C100+C124+C148</f>
        <v>10696755487</v>
      </c>
      <c r="D23" s="18">
        <f t="shared" ref="D23:N23" si="13">D58+D88+D100+D124+D148</f>
        <v>10696755487</v>
      </c>
      <c r="E23" s="18">
        <f t="shared" si="13"/>
        <v>0</v>
      </c>
      <c r="F23" s="18">
        <f t="shared" si="13"/>
        <v>7367354487</v>
      </c>
      <c r="G23" s="18">
        <f t="shared" si="13"/>
        <v>7367354487</v>
      </c>
      <c r="H23" s="18">
        <f t="shared" si="13"/>
        <v>0</v>
      </c>
      <c r="I23" s="18">
        <f t="shared" si="13"/>
        <v>0</v>
      </c>
      <c r="J23" s="18">
        <f t="shared" si="13"/>
        <v>0</v>
      </c>
      <c r="K23" s="18">
        <f t="shared" si="13"/>
        <v>0</v>
      </c>
      <c r="L23" s="18">
        <f t="shared" si="13"/>
        <v>3329401000</v>
      </c>
      <c r="M23" s="18">
        <f t="shared" si="13"/>
        <v>3329401000</v>
      </c>
      <c r="N23" s="18">
        <f t="shared" si="13"/>
        <v>0</v>
      </c>
      <c r="O23" s="289" t="s">
        <v>37</v>
      </c>
    </row>
    <row r="24" spans="1:15" s="2" customFormat="1" ht="69.75" customHeight="1">
      <c r="A24" s="8">
        <v>5</v>
      </c>
      <c r="B24" s="165" t="s">
        <v>44</v>
      </c>
      <c r="C24" s="20">
        <f>C69+C114+C138+C160</f>
        <v>555343300</v>
      </c>
      <c r="D24" s="20">
        <f t="shared" ref="D24:N24" si="14">D69+D114+D138+D160</f>
        <v>526552700</v>
      </c>
      <c r="E24" s="20">
        <f t="shared" si="14"/>
        <v>28790600</v>
      </c>
      <c r="F24" s="20">
        <f t="shared" si="14"/>
        <v>0</v>
      </c>
      <c r="G24" s="20">
        <f t="shared" si="14"/>
        <v>0</v>
      </c>
      <c r="H24" s="20">
        <f t="shared" si="14"/>
        <v>0</v>
      </c>
      <c r="I24" s="20">
        <f t="shared" si="14"/>
        <v>3988729400</v>
      </c>
      <c r="J24" s="20">
        <f t="shared" si="14"/>
        <v>3988729400</v>
      </c>
      <c r="K24" s="20">
        <f t="shared" si="14"/>
        <v>0</v>
      </c>
      <c r="L24" s="20">
        <f t="shared" si="14"/>
        <v>4544072700</v>
      </c>
      <c r="M24" s="20">
        <f t="shared" si="14"/>
        <v>4515282100</v>
      </c>
      <c r="N24" s="20">
        <f t="shared" si="14"/>
        <v>28790600</v>
      </c>
      <c r="O24" s="230" t="s">
        <v>41</v>
      </c>
    </row>
    <row r="25" spans="1:15" s="2" customFormat="1" ht="84.75" customHeight="1">
      <c r="A25" s="8">
        <v>6</v>
      </c>
      <c r="B25" s="9" t="s">
        <v>100</v>
      </c>
      <c r="C25" s="20">
        <f>C59+C75+C101+C125+C164</f>
        <v>9850438862</v>
      </c>
      <c r="D25" s="20">
        <f t="shared" ref="D25:N25" si="15">D59+D75+D101+D125+D164</f>
        <v>9456342792</v>
      </c>
      <c r="E25" s="20">
        <f t="shared" si="15"/>
        <v>394096070</v>
      </c>
      <c r="F25" s="20">
        <f t="shared" si="15"/>
        <v>4447530032</v>
      </c>
      <c r="G25" s="20">
        <f t="shared" si="15"/>
        <v>4353433962</v>
      </c>
      <c r="H25" s="20">
        <f t="shared" si="15"/>
        <v>94096070</v>
      </c>
      <c r="I25" s="20">
        <f t="shared" si="15"/>
        <v>0</v>
      </c>
      <c r="J25" s="20">
        <f t="shared" si="15"/>
        <v>0</v>
      </c>
      <c r="K25" s="20">
        <f t="shared" si="15"/>
        <v>0</v>
      </c>
      <c r="L25" s="20">
        <f t="shared" si="15"/>
        <v>5402908830</v>
      </c>
      <c r="M25" s="20">
        <f t="shared" si="15"/>
        <v>5102908830</v>
      </c>
      <c r="N25" s="20">
        <f t="shared" si="15"/>
        <v>300000000</v>
      </c>
      <c r="O25" s="6" t="s">
        <v>924</v>
      </c>
    </row>
    <row r="26" spans="1:15" s="2" customFormat="1" ht="67.5" customHeight="1">
      <c r="A26" s="8">
        <v>7</v>
      </c>
      <c r="B26" s="9" t="s">
        <v>53</v>
      </c>
      <c r="C26" s="20">
        <f>C27</f>
        <v>314780620</v>
      </c>
      <c r="D26" s="20">
        <f t="shared" ref="D26:N26" si="16">D27</f>
        <v>311304420</v>
      </c>
      <c r="E26" s="20">
        <f t="shared" si="16"/>
        <v>3476200.0000000056</v>
      </c>
      <c r="F26" s="20">
        <f t="shared" si="16"/>
        <v>250780620</v>
      </c>
      <c r="G26" s="20">
        <f t="shared" si="16"/>
        <v>250304420</v>
      </c>
      <c r="H26" s="20">
        <f t="shared" si="16"/>
        <v>476200.0000000057</v>
      </c>
      <c r="I26" s="20">
        <f t="shared" si="16"/>
        <v>157736000</v>
      </c>
      <c r="J26" s="20">
        <f t="shared" si="16"/>
        <v>140756000</v>
      </c>
      <c r="K26" s="20">
        <f t="shared" si="16"/>
        <v>16980000</v>
      </c>
      <c r="L26" s="20">
        <f t="shared" si="16"/>
        <v>221736000</v>
      </c>
      <c r="M26" s="20">
        <f t="shared" si="16"/>
        <v>201756000</v>
      </c>
      <c r="N26" s="20">
        <f t="shared" si="16"/>
        <v>19980000</v>
      </c>
      <c r="O26" s="20"/>
    </row>
    <row r="27" spans="1:15" ht="68.25" customHeight="1">
      <c r="A27" s="5" t="s">
        <v>32</v>
      </c>
      <c r="B27" s="6" t="s">
        <v>54</v>
      </c>
      <c r="C27" s="18">
        <f>C48+C63+C105+C129</f>
        <v>314780620</v>
      </c>
      <c r="D27" s="18">
        <f t="shared" ref="D27:N27" si="17">D48+D63+D105+D129</f>
        <v>311304420</v>
      </c>
      <c r="E27" s="18">
        <f t="shared" si="17"/>
        <v>3476200.0000000056</v>
      </c>
      <c r="F27" s="18">
        <f t="shared" si="17"/>
        <v>250780620</v>
      </c>
      <c r="G27" s="18">
        <f t="shared" si="17"/>
        <v>250304420</v>
      </c>
      <c r="H27" s="18">
        <f t="shared" si="17"/>
        <v>476200.0000000057</v>
      </c>
      <c r="I27" s="18">
        <f t="shared" si="17"/>
        <v>157736000</v>
      </c>
      <c r="J27" s="18">
        <f t="shared" si="17"/>
        <v>140756000</v>
      </c>
      <c r="K27" s="18">
        <f t="shared" si="17"/>
        <v>16980000</v>
      </c>
      <c r="L27" s="18">
        <f t="shared" si="17"/>
        <v>221736000</v>
      </c>
      <c r="M27" s="18">
        <f t="shared" si="17"/>
        <v>201756000</v>
      </c>
      <c r="N27" s="18">
        <f t="shared" si="17"/>
        <v>19980000</v>
      </c>
      <c r="O27" s="6" t="s">
        <v>50</v>
      </c>
    </row>
    <row r="28" spans="1:15" s="2" customFormat="1" ht="99.75" customHeight="1">
      <c r="A28" s="8">
        <v>8</v>
      </c>
      <c r="B28" s="228" t="s">
        <v>45</v>
      </c>
      <c r="C28" s="20">
        <f>SUM(C29:C31)</f>
        <v>3467813666</v>
      </c>
      <c r="D28" s="20">
        <f t="shared" ref="D28:N28" si="18">SUM(D29:D31)</f>
        <v>3302465106</v>
      </c>
      <c r="E28" s="20">
        <f t="shared" si="18"/>
        <v>165348560</v>
      </c>
      <c r="F28" s="20">
        <f t="shared" si="18"/>
        <v>2159902996</v>
      </c>
      <c r="G28" s="20">
        <f t="shared" si="18"/>
        <v>2086843736</v>
      </c>
      <c r="H28" s="20">
        <f t="shared" si="18"/>
        <v>73059260</v>
      </c>
      <c r="I28" s="20">
        <f t="shared" si="18"/>
        <v>468143400</v>
      </c>
      <c r="J28" s="20">
        <f t="shared" si="18"/>
        <v>468143400</v>
      </c>
      <c r="K28" s="20">
        <f t="shared" si="18"/>
        <v>0</v>
      </c>
      <c r="L28" s="20">
        <f t="shared" si="18"/>
        <v>1776054070</v>
      </c>
      <c r="M28" s="20">
        <f t="shared" si="18"/>
        <v>1683764770</v>
      </c>
      <c r="N28" s="20">
        <f t="shared" si="18"/>
        <v>92289300</v>
      </c>
      <c r="O28" s="20"/>
    </row>
    <row r="29" spans="1:15" ht="130.5" customHeight="1">
      <c r="A29" s="63" t="s">
        <v>32</v>
      </c>
      <c r="B29" s="45" t="s">
        <v>360</v>
      </c>
      <c r="C29" s="18">
        <f>C65+C90+C107+C140+C150</f>
        <v>2078284800</v>
      </c>
      <c r="D29" s="18">
        <f t="shared" ref="D29:N29" si="19">D65+D90+D107+D140+D150</f>
        <v>1956678240</v>
      </c>
      <c r="E29" s="18">
        <f t="shared" si="19"/>
        <v>121606560</v>
      </c>
      <c r="F29" s="18">
        <f t="shared" si="19"/>
        <v>1228874530</v>
      </c>
      <c r="G29" s="18">
        <f t="shared" si="19"/>
        <v>1164664870</v>
      </c>
      <c r="H29" s="18">
        <f t="shared" si="19"/>
        <v>64209660</v>
      </c>
      <c r="I29" s="18">
        <f t="shared" si="19"/>
        <v>429143400</v>
      </c>
      <c r="J29" s="18">
        <f t="shared" si="19"/>
        <v>429143400</v>
      </c>
      <c r="K29" s="18">
        <f t="shared" si="19"/>
        <v>0</v>
      </c>
      <c r="L29" s="18">
        <f t="shared" si="19"/>
        <v>1278553670</v>
      </c>
      <c r="M29" s="18">
        <f t="shared" si="19"/>
        <v>1221156770</v>
      </c>
      <c r="N29" s="18">
        <f t="shared" si="19"/>
        <v>57396900</v>
      </c>
      <c r="O29" s="289" t="s">
        <v>41</v>
      </c>
    </row>
    <row r="30" spans="1:15" ht="87" customHeight="1">
      <c r="A30" s="63" t="s">
        <v>32</v>
      </c>
      <c r="B30" s="45" t="s">
        <v>104</v>
      </c>
      <c r="C30" s="18">
        <f>C108+C131+C151+C162</f>
        <v>550000000</v>
      </c>
      <c r="D30" s="18">
        <f t="shared" ref="D30:N30" si="20">D108+D131+D151+D162</f>
        <v>550000000</v>
      </c>
      <c r="E30" s="18">
        <f t="shared" si="20"/>
        <v>0</v>
      </c>
      <c r="F30" s="18">
        <f t="shared" si="20"/>
        <v>550000000</v>
      </c>
      <c r="G30" s="18">
        <f t="shared" si="20"/>
        <v>550000000</v>
      </c>
      <c r="H30" s="18">
        <f t="shared" si="20"/>
        <v>0</v>
      </c>
      <c r="I30" s="18">
        <f t="shared" si="20"/>
        <v>0</v>
      </c>
      <c r="J30" s="18">
        <f t="shared" si="20"/>
        <v>0</v>
      </c>
      <c r="K30" s="18">
        <f t="shared" si="20"/>
        <v>0</v>
      </c>
      <c r="L30" s="18">
        <f t="shared" si="20"/>
        <v>0</v>
      </c>
      <c r="M30" s="18">
        <f t="shared" si="20"/>
        <v>0</v>
      </c>
      <c r="N30" s="18">
        <f t="shared" si="20"/>
        <v>0</v>
      </c>
      <c r="O30" s="289" t="s">
        <v>41</v>
      </c>
    </row>
    <row r="31" spans="1:15" ht="51.75" customHeight="1">
      <c r="A31" s="63" t="s">
        <v>32</v>
      </c>
      <c r="B31" s="45" t="s">
        <v>46</v>
      </c>
      <c r="C31" s="18">
        <f>C66+C77+C91+C109+C168</f>
        <v>839528866</v>
      </c>
      <c r="D31" s="18">
        <f t="shared" ref="D31:N31" si="21">D66+D77+D91+D109+D168</f>
        <v>795786866</v>
      </c>
      <c r="E31" s="18">
        <f t="shared" si="21"/>
        <v>43742000</v>
      </c>
      <c r="F31" s="18">
        <f t="shared" si="21"/>
        <v>381028466</v>
      </c>
      <c r="G31" s="18">
        <f t="shared" si="21"/>
        <v>372178866</v>
      </c>
      <c r="H31" s="18">
        <f t="shared" si="21"/>
        <v>8849600</v>
      </c>
      <c r="I31" s="18">
        <f t="shared" si="21"/>
        <v>39000000</v>
      </c>
      <c r="J31" s="18">
        <f t="shared" si="21"/>
        <v>39000000</v>
      </c>
      <c r="K31" s="18">
        <f t="shared" si="21"/>
        <v>0</v>
      </c>
      <c r="L31" s="18">
        <f t="shared" si="21"/>
        <v>497500400</v>
      </c>
      <c r="M31" s="18">
        <f t="shared" si="21"/>
        <v>462608000</v>
      </c>
      <c r="N31" s="18">
        <f t="shared" si="21"/>
        <v>34892400</v>
      </c>
      <c r="O31" s="18" t="s">
        <v>34</v>
      </c>
    </row>
    <row r="32" spans="1:15" ht="28.5" customHeight="1">
      <c r="A32" s="423"/>
      <c r="B32" s="212" t="s">
        <v>320</v>
      </c>
      <c r="C32" s="423"/>
      <c r="D32" s="423"/>
      <c r="E32" s="423"/>
      <c r="F32" s="423"/>
      <c r="G32" s="423"/>
      <c r="H32" s="423"/>
      <c r="I32" s="423"/>
      <c r="J32" s="423"/>
      <c r="K32" s="423"/>
      <c r="L32" s="423"/>
      <c r="M32" s="423"/>
      <c r="N32" s="423"/>
      <c r="O32" s="423"/>
    </row>
    <row r="33" spans="1:18" s="2" customFormat="1" ht="27.75" customHeight="1">
      <c r="A33" s="23" t="s">
        <v>8</v>
      </c>
      <c r="B33" s="24" t="s">
        <v>30</v>
      </c>
      <c r="C33" s="25">
        <f>C34</f>
        <v>20505228829</v>
      </c>
      <c r="D33" s="25">
        <f t="shared" ref="D33:N33" si="22">D34</f>
        <v>20192823657</v>
      </c>
      <c r="E33" s="25">
        <f t="shared" si="22"/>
        <v>312405172</v>
      </c>
      <c r="F33" s="25">
        <f t="shared" si="22"/>
        <v>6700000000</v>
      </c>
      <c r="G33" s="25">
        <f t="shared" si="22"/>
        <v>6505244000</v>
      </c>
      <c r="H33" s="25">
        <f t="shared" si="22"/>
        <v>194756000</v>
      </c>
      <c r="I33" s="25">
        <f t="shared" si="22"/>
        <v>6700000000</v>
      </c>
      <c r="J33" s="25">
        <f t="shared" si="22"/>
        <v>6505244000</v>
      </c>
      <c r="K33" s="25">
        <f t="shared" si="22"/>
        <v>194756000</v>
      </c>
      <c r="L33" s="25">
        <f t="shared" si="22"/>
        <v>20505228829</v>
      </c>
      <c r="M33" s="25">
        <f t="shared" si="22"/>
        <v>20192823657</v>
      </c>
      <c r="N33" s="25">
        <f t="shared" si="22"/>
        <v>312405172</v>
      </c>
      <c r="O33" s="26"/>
      <c r="P33" s="35"/>
      <c r="Q33" s="35"/>
      <c r="R33" s="35"/>
    </row>
    <row r="34" spans="1:18" s="2" customFormat="1" ht="36" customHeight="1">
      <c r="A34" s="14" t="s">
        <v>28</v>
      </c>
      <c r="B34" s="15" t="s">
        <v>43</v>
      </c>
      <c r="C34" s="21">
        <f>C37+C39+C41+C35</f>
        <v>20505228829</v>
      </c>
      <c r="D34" s="21">
        <f t="shared" ref="D34:N34" si="23">D37+D39+D41+D35</f>
        <v>20192823657</v>
      </c>
      <c r="E34" s="21">
        <f t="shared" si="23"/>
        <v>312405172</v>
      </c>
      <c r="F34" s="21">
        <f t="shared" si="23"/>
        <v>6700000000</v>
      </c>
      <c r="G34" s="21">
        <f t="shared" si="23"/>
        <v>6505244000</v>
      </c>
      <c r="H34" s="21">
        <f t="shared" si="23"/>
        <v>194756000</v>
      </c>
      <c r="I34" s="21">
        <f t="shared" si="23"/>
        <v>6700000000</v>
      </c>
      <c r="J34" s="21">
        <f t="shared" si="23"/>
        <v>6505244000</v>
      </c>
      <c r="K34" s="21">
        <f t="shared" si="23"/>
        <v>194756000</v>
      </c>
      <c r="L34" s="21">
        <f t="shared" si="23"/>
        <v>20505228829</v>
      </c>
      <c r="M34" s="21">
        <f t="shared" si="23"/>
        <v>20192823657</v>
      </c>
      <c r="N34" s="21">
        <f t="shared" si="23"/>
        <v>312405172</v>
      </c>
      <c r="O34" s="16"/>
      <c r="P34" s="88"/>
      <c r="Q34" s="88"/>
      <c r="R34" s="88"/>
    </row>
    <row r="35" spans="1:18" s="2" customFormat="1" ht="53.25" customHeight="1">
      <c r="A35" s="8">
        <v>1</v>
      </c>
      <c r="B35" s="9" t="s">
        <v>92</v>
      </c>
      <c r="C35" s="20">
        <f t="shared" ref="C35:N35" si="24">SUM(C36:C36)</f>
        <v>2686280000</v>
      </c>
      <c r="D35" s="20">
        <f t="shared" si="24"/>
        <v>2556324000</v>
      </c>
      <c r="E35" s="20">
        <f t="shared" si="24"/>
        <v>129956000</v>
      </c>
      <c r="F35" s="20">
        <f t="shared" si="24"/>
        <v>1159900000</v>
      </c>
      <c r="G35" s="20">
        <f t="shared" si="24"/>
        <v>1108144000</v>
      </c>
      <c r="H35" s="20">
        <f t="shared" si="24"/>
        <v>51756000</v>
      </c>
      <c r="I35" s="20">
        <f t="shared" si="24"/>
        <v>0</v>
      </c>
      <c r="J35" s="20">
        <f t="shared" si="24"/>
        <v>0</v>
      </c>
      <c r="K35" s="20">
        <f t="shared" si="24"/>
        <v>0</v>
      </c>
      <c r="L35" s="20">
        <f t="shared" si="24"/>
        <v>1526380000</v>
      </c>
      <c r="M35" s="20">
        <f t="shared" si="24"/>
        <v>1448180000</v>
      </c>
      <c r="N35" s="20">
        <f t="shared" si="24"/>
        <v>78200000</v>
      </c>
      <c r="O35" s="10"/>
      <c r="P35" s="88"/>
      <c r="Q35" s="88"/>
      <c r="R35" s="88"/>
    </row>
    <row r="36" spans="1:18" ht="38.25" customHeight="1">
      <c r="A36" s="19" t="s">
        <v>32</v>
      </c>
      <c r="B36" s="6" t="s">
        <v>127</v>
      </c>
      <c r="C36" s="18">
        <f>SUM(D36:E36)</f>
        <v>2686280000</v>
      </c>
      <c r="D36" s="18">
        <f>346104000+285000000+74040000+1851180000</f>
        <v>2556324000</v>
      </c>
      <c r="E36" s="18">
        <f>12756000+6200000+91000000+5000000+15000000</f>
        <v>129956000</v>
      </c>
      <c r="F36" s="18">
        <f>SUM(G36:H36)</f>
        <v>1159900000</v>
      </c>
      <c r="G36" s="18">
        <v>1108144000</v>
      </c>
      <c r="H36" s="18">
        <v>51756000</v>
      </c>
      <c r="I36" s="18"/>
      <c r="J36" s="18"/>
      <c r="K36" s="18"/>
      <c r="L36" s="18">
        <f>SUM(M36:N36)</f>
        <v>1526380000</v>
      </c>
      <c r="M36" s="18">
        <f>D36-G36+J36</f>
        <v>1448180000</v>
      </c>
      <c r="N36" s="18">
        <f>E36-H36+K36</f>
        <v>78200000</v>
      </c>
      <c r="O36" s="7" t="s">
        <v>34</v>
      </c>
      <c r="P36" s="88"/>
      <c r="Q36" s="88"/>
      <c r="R36" s="88"/>
    </row>
    <row r="37" spans="1:18" s="2" customFormat="1" ht="87.75" customHeight="1">
      <c r="A37" s="8">
        <v>2</v>
      </c>
      <c r="B37" s="9" t="s">
        <v>31</v>
      </c>
      <c r="C37" s="20">
        <f>C38</f>
        <v>12921312000</v>
      </c>
      <c r="D37" s="20">
        <f t="shared" ref="D37:N37" si="25">D38</f>
        <v>12921312000</v>
      </c>
      <c r="E37" s="20">
        <f t="shared" si="25"/>
        <v>0</v>
      </c>
      <c r="F37" s="20">
        <f t="shared" si="25"/>
        <v>3490100000</v>
      </c>
      <c r="G37" s="20">
        <f t="shared" si="25"/>
        <v>3490100000</v>
      </c>
      <c r="H37" s="20">
        <f t="shared" si="25"/>
        <v>0</v>
      </c>
      <c r="I37" s="20">
        <f t="shared" si="25"/>
        <v>0</v>
      </c>
      <c r="J37" s="20">
        <f t="shared" si="25"/>
        <v>0</v>
      </c>
      <c r="K37" s="20">
        <f t="shared" si="25"/>
        <v>0</v>
      </c>
      <c r="L37" s="20">
        <f t="shared" si="25"/>
        <v>9431212000</v>
      </c>
      <c r="M37" s="20">
        <f t="shared" si="25"/>
        <v>9431212000</v>
      </c>
      <c r="N37" s="20">
        <f t="shared" si="25"/>
        <v>0</v>
      </c>
      <c r="O37" s="10"/>
    </row>
    <row r="38" spans="1:18" ht="72" customHeight="1">
      <c r="A38" s="19" t="s">
        <v>32</v>
      </c>
      <c r="B38" s="6" t="s">
        <v>33</v>
      </c>
      <c r="C38" s="18">
        <f>SUM(D38:E38)</f>
        <v>12921312000</v>
      </c>
      <c r="D38" s="18">
        <f>4756108500+8165203500</f>
        <v>12921312000</v>
      </c>
      <c r="E38" s="18"/>
      <c r="F38" s="18">
        <f>SUM(G38:H38)</f>
        <v>3490100000</v>
      </c>
      <c r="G38" s="18">
        <v>3490100000</v>
      </c>
      <c r="H38" s="18"/>
      <c r="I38" s="18">
        <f>SUM(J38:K38)</f>
        <v>0</v>
      </c>
      <c r="J38" s="18"/>
      <c r="K38" s="18"/>
      <c r="L38" s="18">
        <f>M38+N38</f>
        <v>9431212000</v>
      </c>
      <c r="M38" s="18">
        <f>D38-G38+J38</f>
        <v>9431212000</v>
      </c>
      <c r="N38" s="18">
        <f>E38-H38+K38</f>
        <v>0</v>
      </c>
      <c r="O38" s="7" t="s">
        <v>34</v>
      </c>
    </row>
    <row r="39" spans="1:18" s="2" customFormat="1" ht="54" customHeight="1">
      <c r="A39" s="8">
        <v>3</v>
      </c>
      <c r="B39" s="9" t="s">
        <v>35</v>
      </c>
      <c r="C39" s="20">
        <f>C40</f>
        <v>4550802000</v>
      </c>
      <c r="D39" s="20">
        <f t="shared" ref="D39:K39" si="26">D40</f>
        <v>4407802000</v>
      </c>
      <c r="E39" s="20">
        <f t="shared" si="26"/>
        <v>143000000</v>
      </c>
      <c r="F39" s="20">
        <f t="shared" si="26"/>
        <v>2050000000</v>
      </c>
      <c r="G39" s="20">
        <f t="shared" si="26"/>
        <v>1907000000</v>
      </c>
      <c r="H39" s="20">
        <f t="shared" si="26"/>
        <v>143000000</v>
      </c>
      <c r="I39" s="20">
        <f t="shared" si="26"/>
        <v>0</v>
      </c>
      <c r="J39" s="20">
        <f t="shared" si="26"/>
        <v>0</v>
      </c>
      <c r="K39" s="20">
        <f t="shared" si="26"/>
        <v>0</v>
      </c>
      <c r="L39" s="20">
        <f>L40</f>
        <v>2500802000</v>
      </c>
      <c r="M39" s="20">
        <f>M40</f>
        <v>2500802000</v>
      </c>
      <c r="N39" s="20">
        <f>N40</f>
        <v>0</v>
      </c>
      <c r="O39" s="10"/>
    </row>
    <row r="40" spans="1:18" ht="69.75" customHeight="1">
      <c r="A40" s="19" t="s">
        <v>32</v>
      </c>
      <c r="B40" s="6" t="s">
        <v>36</v>
      </c>
      <c r="C40" s="18">
        <f>SUM(D40:E40)</f>
        <v>4550802000</v>
      </c>
      <c r="D40" s="18">
        <f>1907000000+2500802000</f>
        <v>4407802000</v>
      </c>
      <c r="E40" s="18">
        <f>143000000</f>
        <v>143000000</v>
      </c>
      <c r="F40" s="18">
        <f>SUM(G40:H40)</f>
        <v>2050000000</v>
      </c>
      <c r="G40" s="18">
        <v>1907000000</v>
      </c>
      <c r="H40" s="18">
        <v>143000000</v>
      </c>
      <c r="I40" s="18"/>
      <c r="J40" s="18"/>
      <c r="K40" s="18"/>
      <c r="L40" s="18">
        <f>M40+N40</f>
        <v>2500802000</v>
      </c>
      <c r="M40" s="18">
        <f>D40-G40+J40</f>
        <v>2500802000</v>
      </c>
      <c r="N40" s="18">
        <f>E40-H40+K40</f>
        <v>0</v>
      </c>
      <c r="O40" s="6" t="s">
        <v>37</v>
      </c>
    </row>
    <row r="41" spans="1:18" s="2" customFormat="1" ht="101.25" customHeight="1">
      <c r="A41" s="8">
        <v>4</v>
      </c>
      <c r="B41" s="9" t="s">
        <v>38</v>
      </c>
      <c r="C41" s="20">
        <f>C42</f>
        <v>346834829</v>
      </c>
      <c r="D41" s="20">
        <f t="shared" ref="D41:N41" si="27">D42</f>
        <v>307385657</v>
      </c>
      <c r="E41" s="20">
        <f t="shared" si="27"/>
        <v>39449172</v>
      </c>
      <c r="F41" s="20">
        <f t="shared" si="27"/>
        <v>0</v>
      </c>
      <c r="G41" s="20">
        <f t="shared" si="27"/>
        <v>0</v>
      </c>
      <c r="H41" s="20">
        <f t="shared" si="27"/>
        <v>0</v>
      </c>
      <c r="I41" s="20">
        <f t="shared" si="27"/>
        <v>6700000000</v>
      </c>
      <c r="J41" s="20">
        <f t="shared" si="27"/>
        <v>6505244000</v>
      </c>
      <c r="K41" s="20">
        <f t="shared" si="27"/>
        <v>194756000</v>
      </c>
      <c r="L41" s="20">
        <f t="shared" si="27"/>
        <v>7046834829</v>
      </c>
      <c r="M41" s="20">
        <f t="shared" si="27"/>
        <v>6812629657</v>
      </c>
      <c r="N41" s="20">
        <f t="shared" si="27"/>
        <v>234205172</v>
      </c>
      <c r="O41" s="10"/>
    </row>
    <row r="42" spans="1:18" ht="69" customHeight="1">
      <c r="A42" s="19" t="s">
        <v>32</v>
      </c>
      <c r="B42" s="6" t="s">
        <v>39</v>
      </c>
      <c r="C42" s="18">
        <f>SUM(D42:E42)</f>
        <v>346834829</v>
      </c>
      <c r="D42" s="18">
        <f>293044000+14341657</f>
        <v>307385657</v>
      </c>
      <c r="E42" s="18">
        <f>14000000+16665337+3489000+5294835</f>
        <v>39449172</v>
      </c>
      <c r="F42" s="18"/>
      <c r="G42" s="18"/>
      <c r="H42" s="18"/>
      <c r="I42" s="18">
        <f>SUM(J42:K42)</f>
        <v>6700000000</v>
      </c>
      <c r="J42" s="18">
        <v>6505244000</v>
      </c>
      <c r="K42" s="18">
        <v>194756000</v>
      </c>
      <c r="L42" s="18">
        <f>M42+N42</f>
        <v>7046834829</v>
      </c>
      <c r="M42" s="18">
        <f>D42-G42+J42</f>
        <v>6812629657</v>
      </c>
      <c r="N42" s="18">
        <f>E42-H42+K42</f>
        <v>234205172</v>
      </c>
      <c r="O42" s="7" t="s">
        <v>40</v>
      </c>
    </row>
    <row r="43" spans="1:18" s="2" customFormat="1" ht="31.5" customHeight="1">
      <c r="A43" s="23" t="s">
        <v>20</v>
      </c>
      <c r="B43" s="24" t="s">
        <v>49</v>
      </c>
      <c r="C43" s="25">
        <f>C44</f>
        <v>221736000</v>
      </c>
      <c r="D43" s="25">
        <f t="shared" ref="D43:N43" si="28">D44</f>
        <v>201756000</v>
      </c>
      <c r="E43" s="25">
        <f t="shared" si="28"/>
        <v>19980000</v>
      </c>
      <c r="F43" s="25">
        <f t="shared" si="28"/>
        <v>157736000</v>
      </c>
      <c r="G43" s="25">
        <f t="shared" si="28"/>
        <v>140756000</v>
      </c>
      <c r="H43" s="25">
        <f t="shared" si="28"/>
        <v>16980000</v>
      </c>
      <c r="I43" s="25">
        <f t="shared" si="28"/>
        <v>157736000</v>
      </c>
      <c r="J43" s="25">
        <f t="shared" si="28"/>
        <v>140756000</v>
      </c>
      <c r="K43" s="25">
        <f t="shared" si="28"/>
        <v>16980000</v>
      </c>
      <c r="L43" s="25">
        <f t="shared" si="28"/>
        <v>221736000</v>
      </c>
      <c r="M43" s="25">
        <f t="shared" si="28"/>
        <v>201756000</v>
      </c>
      <c r="N43" s="25">
        <f t="shared" si="28"/>
        <v>19980000</v>
      </c>
      <c r="O43" s="26"/>
    </row>
    <row r="44" spans="1:18" s="2" customFormat="1" ht="27" customHeight="1">
      <c r="A44" s="14"/>
      <c r="B44" s="15" t="s">
        <v>21</v>
      </c>
      <c r="C44" s="27">
        <f>C45+C47</f>
        <v>221736000</v>
      </c>
      <c r="D44" s="27">
        <f t="shared" ref="D44:N44" si="29">D45+D47</f>
        <v>201756000</v>
      </c>
      <c r="E44" s="27">
        <f t="shared" si="29"/>
        <v>19980000</v>
      </c>
      <c r="F44" s="27">
        <f t="shared" si="29"/>
        <v>157736000</v>
      </c>
      <c r="G44" s="27">
        <f t="shared" si="29"/>
        <v>140756000</v>
      </c>
      <c r="H44" s="27">
        <f t="shared" si="29"/>
        <v>16980000</v>
      </c>
      <c r="I44" s="27">
        <f t="shared" si="29"/>
        <v>157736000</v>
      </c>
      <c r="J44" s="27">
        <f t="shared" si="29"/>
        <v>140756000</v>
      </c>
      <c r="K44" s="27">
        <f t="shared" si="29"/>
        <v>16980000</v>
      </c>
      <c r="L44" s="27">
        <f t="shared" si="29"/>
        <v>221736000</v>
      </c>
      <c r="M44" s="27">
        <f t="shared" si="29"/>
        <v>201756000</v>
      </c>
      <c r="N44" s="27">
        <f t="shared" si="29"/>
        <v>19980000</v>
      </c>
      <c r="O44" s="16"/>
    </row>
    <row r="45" spans="1:18" s="2" customFormat="1" ht="84.75" customHeight="1">
      <c r="A45" s="8">
        <v>1</v>
      </c>
      <c r="B45" s="9" t="s">
        <v>51</v>
      </c>
      <c r="C45" s="28">
        <f>C46</f>
        <v>157736000</v>
      </c>
      <c r="D45" s="28">
        <f t="shared" ref="D45:N45" si="30">D46</f>
        <v>140756000</v>
      </c>
      <c r="E45" s="28">
        <f t="shared" si="30"/>
        <v>16980000</v>
      </c>
      <c r="F45" s="28">
        <f t="shared" si="30"/>
        <v>157736000</v>
      </c>
      <c r="G45" s="28">
        <f t="shared" si="30"/>
        <v>140756000</v>
      </c>
      <c r="H45" s="28">
        <f t="shared" si="30"/>
        <v>16980000</v>
      </c>
      <c r="I45" s="28">
        <f t="shared" si="30"/>
        <v>0</v>
      </c>
      <c r="J45" s="28">
        <f t="shared" si="30"/>
        <v>0</v>
      </c>
      <c r="K45" s="28">
        <f t="shared" si="30"/>
        <v>0</v>
      </c>
      <c r="L45" s="28">
        <f t="shared" si="30"/>
        <v>0</v>
      </c>
      <c r="M45" s="28">
        <f t="shared" si="30"/>
        <v>0</v>
      </c>
      <c r="N45" s="28">
        <f t="shared" si="30"/>
        <v>0</v>
      </c>
      <c r="O45" s="8"/>
    </row>
    <row r="46" spans="1:18" ht="100.5" customHeight="1">
      <c r="A46" s="5" t="s">
        <v>32</v>
      </c>
      <c r="B46" s="6" t="s">
        <v>52</v>
      </c>
      <c r="C46" s="29">
        <f>SUM(D46:E46)</f>
        <v>157736000</v>
      </c>
      <c r="D46" s="29">
        <v>140756000</v>
      </c>
      <c r="E46" s="29">
        <v>16980000</v>
      </c>
      <c r="F46" s="29">
        <f>SUM(G46:H46)</f>
        <v>157736000</v>
      </c>
      <c r="G46" s="29">
        <v>140756000</v>
      </c>
      <c r="H46" s="29">
        <v>16980000</v>
      </c>
      <c r="I46" s="29">
        <f>J46+K46</f>
        <v>0</v>
      </c>
      <c r="J46" s="29"/>
      <c r="K46" s="29"/>
      <c r="L46" s="29">
        <f>SUM(M46:N46)</f>
        <v>0</v>
      </c>
      <c r="M46" s="29">
        <f>D46-G46+J46</f>
        <v>0</v>
      </c>
      <c r="N46" s="29">
        <f>E46-H46+K46</f>
        <v>0</v>
      </c>
      <c r="O46" s="7" t="s">
        <v>34</v>
      </c>
    </row>
    <row r="47" spans="1:18" s="2" customFormat="1" ht="66.75" customHeight="1">
      <c r="A47" s="8">
        <v>2</v>
      </c>
      <c r="B47" s="9" t="s">
        <v>53</v>
      </c>
      <c r="C47" s="28">
        <f>C48</f>
        <v>64000000</v>
      </c>
      <c r="D47" s="28">
        <f t="shared" ref="D47:N47" si="31">D48</f>
        <v>61000000</v>
      </c>
      <c r="E47" s="28">
        <f t="shared" si="31"/>
        <v>3000000</v>
      </c>
      <c r="F47" s="28">
        <f t="shared" si="31"/>
        <v>0</v>
      </c>
      <c r="G47" s="28">
        <f t="shared" si="31"/>
        <v>0</v>
      </c>
      <c r="H47" s="28">
        <f t="shared" si="31"/>
        <v>0</v>
      </c>
      <c r="I47" s="28">
        <f t="shared" si="31"/>
        <v>157736000</v>
      </c>
      <c r="J47" s="28">
        <f t="shared" si="31"/>
        <v>140756000</v>
      </c>
      <c r="K47" s="28">
        <f t="shared" si="31"/>
        <v>16980000</v>
      </c>
      <c r="L47" s="28">
        <f t="shared" si="31"/>
        <v>221736000</v>
      </c>
      <c r="M47" s="28">
        <f t="shared" si="31"/>
        <v>201756000</v>
      </c>
      <c r="N47" s="28">
        <f t="shared" si="31"/>
        <v>19980000</v>
      </c>
      <c r="O47" s="9"/>
    </row>
    <row r="48" spans="1:18" ht="71.25" customHeight="1">
      <c r="A48" s="5" t="s">
        <v>32</v>
      </c>
      <c r="B48" s="6" t="s">
        <v>54</v>
      </c>
      <c r="C48" s="29">
        <f>SUM(D48:E48)</f>
        <v>64000000</v>
      </c>
      <c r="D48" s="29">
        <v>61000000</v>
      </c>
      <c r="E48" s="29">
        <v>3000000</v>
      </c>
      <c r="F48" s="29">
        <f>G48+H48</f>
        <v>0</v>
      </c>
      <c r="G48" s="29"/>
      <c r="H48" s="29"/>
      <c r="I48" s="29">
        <f>J48+K48</f>
        <v>157736000</v>
      </c>
      <c r="J48" s="29">
        <v>140756000</v>
      </c>
      <c r="K48" s="29">
        <v>16980000</v>
      </c>
      <c r="L48" s="29">
        <f>SUM(M48:N48)</f>
        <v>221736000</v>
      </c>
      <c r="M48" s="29">
        <f>D48-G48+J48</f>
        <v>201756000</v>
      </c>
      <c r="N48" s="29">
        <f>E48-H48+K48</f>
        <v>19980000</v>
      </c>
      <c r="O48" s="6" t="s">
        <v>50</v>
      </c>
    </row>
    <row r="49" spans="1:17" s="2" customFormat="1" ht="31.5" customHeight="1">
      <c r="A49" s="23" t="s">
        <v>55</v>
      </c>
      <c r="B49" s="24" t="s">
        <v>57</v>
      </c>
      <c r="C49" s="25">
        <f>C50</f>
        <v>12501986922</v>
      </c>
      <c r="D49" s="25">
        <f t="shared" ref="D49:N49" si="32">D50</f>
        <v>12304663477</v>
      </c>
      <c r="E49" s="25">
        <f t="shared" si="32"/>
        <v>197323445</v>
      </c>
      <c r="F49" s="25">
        <f t="shared" si="32"/>
        <v>11201896676</v>
      </c>
      <c r="G49" s="25">
        <f t="shared" si="32"/>
        <v>11027594366</v>
      </c>
      <c r="H49" s="25">
        <f t="shared" si="32"/>
        <v>174302310</v>
      </c>
      <c r="I49" s="25">
        <f t="shared" si="32"/>
        <v>11201896676.000002</v>
      </c>
      <c r="J49" s="25">
        <f t="shared" si="32"/>
        <v>11027594366.000002</v>
      </c>
      <c r="K49" s="25">
        <f t="shared" si="32"/>
        <v>174302310</v>
      </c>
      <c r="L49" s="25">
        <f t="shared" si="32"/>
        <v>12501986922.000002</v>
      </c>
      <c r="M49" s="25">
        <f t="shared" si="32"/>
        <v>12304663477.000002</v>
      </c>
      <c r="N49" s="25">
        <f t="shared" si="32"/>
        <v>197323445</v>
      </c>
      <c r="O49" s="26"/>
    </row>
    <row r="50" spans="1:17" ht="39" customHeight="1">
      <c r="A50" s="46" t="s">
        <v>28</v>
      </c>
      <c r="B50" s="47" t="s">
        <v>43</v>
      </c>
      <c r="C50" s="36">
        <f>C51+C54+C56+C59+C62+C64+C67+C69</f>
        <v>12501986922</v>
      </c>
      <c r="D50" s="36">
        <f t="shared" ref="D50:N50" si="33">D51+D54+D56+D59+D62+D64+D67+D69</f>
        <v>12304663477</v>
      </c>
      <c r="E50" s="36">
        <f t="shared" si="33"/>
        <v>197323445</v>
      </c>
      <c r="F50" s="36">
        <f t="shared" si="33"/>
        <v>11201896676</v>
      </c>
      <c r="G50" s="36">
        <f t="shared" si="33"/>
        <v>11027594366</v>
      </c>
      <c r="H50" s="36">
        <f t="shared" si="33"/>
        <v>174302310</v>
      </c>
      <c r="I50" s="36">
        <f t="shared" si="33"/>
        <v>11201896676.000002</v>
      </c>
      <c r="J50" s="36">
        <f t="shared" si="33"/>
        <v>11027594366.000002</v>
      </c>
      <c r="K50" s="36">
        <f t="shared" si="33"/>
        <v>174302310</v>
      </c>
      <c r="L50" s="36">
        <f t="shared" si="33"/>
        <v>12501986922.000002</v>
      </c>
      <c r="M50" s="36">
        <f t="shared" si="33"/>
        <v>12304663477.000002</v>
      </c>
      <c r="N50" s="36">
        <f t="shared" si="33"/>
        <v>197323445</v>
      </c>
      <c r="O50" s="48"/>
    </row>
    <row r="51" spans="1:17" s="2" customFormat="1" ht="54.75" customHeight="1">
      <c r="A51" s="49">
        <v>1</v>
      </c>
      <c r="B51" s="33" t="s">
        <v>58</v>
      </c>
      <c r="C51" s="34">
        <f>SUM(C52:C53)</f>
        <v>1003825480</v>
      </c>
      <c r="D51" s="34">
        <f t="shared" ref="D51:N51" si="34">SUM(D52:D53)</f>
        <v>951052000</v>
      </c>
      <c r="E51" s="34">
        <f t="shared" si="34"/>
        <v>52773480</v>
      </c>
      <c r="F51" s="34">
        <f t="shared" si="34"/>
        <v>958825480</v>
      </c>
      <c r="G51" s="34">
        <f t="shared" si="34"/>
        <v>908302000</v>
      </c>
      <c r="H51" s="34">
        <f t="shared" si="34"/>
        <v>50523480</v>
      </c>
      <c r="I51" s="34">
        <f t="shared" si="34"/>
        <v>0</v>
      </c>
      <c r="J51" s="34">
        <f t="shared" si="34"/>
        <v>0</v>
      </c>
      <c r="K51" s="34">
        <f t="shared" si="34"/>
        <v>0</v>
      </c>
      <c r="L51" s="34">
        <f t="shared" si="34"/>
        <v>45000000.000000045</v>
      </c>
      <c r="M51" s="34">
        <f t="shared" si="34"/>
        <v>42750000.000000045</v>
      </c>
      <c r="N51" s="34">
        <f t="shared" si="34"/>
        <v>2250000</v>
      </c>
      <c r="O51" s="9"/>
    </row>
    <row r="52" spans="1:17" ht="42" customHeight="1">
      <c r="A52" s="50" t="s">
        <v>32</v>
      </c>
      <c r="B52" s="30" t="s">
        <v>60</v>
      </c>
      <c r="C52" s="32">
        <f>SUM(D52:E52)</f>
        <v>813500000</v>
      </c>
      <c r="D52" s="32">
        <v>775864000</v>
      </c>
      <c r="E52" s="32">
        <v>37636000</v>
      </c>
      <c r="F52" s="32">
        <f>SUM(G52:H52)</f>
        <v>813500000</v>
      </c>
      <c r="G52" s="32">
        <v>775864000</v>
      </c>
      <c r="H52" s="32">
        <v>37636000</v>
      </c>
      <c r="I52" s="32">
        <f>SUM(J52:K52)</f>
        <v>0</v>
      </c>
      <c r="J52" s="32"/>
      <c r="K52" s="32"/>
      <c r="L52" s="32">
        <f>SUM(M52:N52)</f>
        <v>0</v>
      </c>
      <c r="M52" s="32">
        <f>D52-G52+J52</f>
        <v>0</v>
      </c>
      <c r="N52" s="32">
        <f>E52-H52+K52</f>
        <v>0</v>
      </c>
      <c r="O52" s="6" t="s">
        <v>34</v>
      </c>
      <c r="P52" s="31"/>
      <c r="Q52" s="31"/>
    </row>
    <row r="53" spans="1:17" ht="42" customHeight="1">
      <c r="A53" s="50" t="s">
        <v>32</v>
      </c>
      <c r="B53" s="30" t="s">
        <v>59</v>
      </c>
      <c r="C53" s="32">
        <f>SUM(D53:E53)</f>
        <v>190325480.00000003</v>
      </c>
      <c r="D53" s="32">
        <v>175188000.00000003</v>
      </c>
      <c r="E53" s="32">
        <v>15137479.999999998</v>
      </c>
      <c r="F53" s="32">
        <f>SUM(G53:H53)</f>
        <v>145325479.99999997</v>
      </c>
      <c r="G53" s="32">
        <v>132437999.99999999</v>
      </c>
      <c r="H53" s="32">
        <v>12887479.999999998</v>
      </c>
      <c r="I53" s="32">
        <f>SUM(J53:K53)</f>
        <v>0</v>
      </c>
      <c r="J53" s="32"/>
      <c r="K53" s="32"/>
      <c r="L53" s="32">
        <f>SUM(M53:N53)</f>
        <v>45000000.000000045</v>
      </c>
      <c r="M53" s="32">
        <f>D53-G53+J53</f>
        <v>42750000.000000045</v>
      </c>
      <c r="N53" s="32">
        <f>E53-H53+K53</f>
        <v>2250000</v>
      </c>
      <c r="O53" s="6" t="s">
        <v>34</v>
      </c>
      <c r="P53" s="31"/>
      <c r="Q53" s="31"/>
    </row>
    <row r="54" spans="1:17" s="2" customFormat="1" ht="87.75" customHeight="1">
      <c r="A54" s="49">
        <v>2</v>
      </c>
      <c r="B54" s="33" t="s">
        <v>61</v>
      </c>
      <c r="C54" s="34">
        <f>C55</f>
        <v>7323905353</v>
      </c>
      <c r="D54" s="34">
        <f t="shared" ref="D54:N54" si="35">D55</f>
        <v>7323905353</v>
      </c>
      <c r="E54" s="34">
        <f t="shared" si="35"/>
        <v>0</v>
      </c>
      <c r="F54" s="34">
        <f t="shared" si="35"/>
        <v>7323905353</v>
      </c>
      <c r="G54" s="34">
        <f t="shared" si="35"/>
        <v>7323905353</v>
      </c>
      <c r="H54" s="34">
        <f t="shared" si="35"/>
        <v>0</v>
      </c>
      <c r="I54" s="34">
        <f t="shared" si="35"/>
        <v>0</v>
      </c>
      <c r="J54" s="34">
        <f t="shared" si="35"/>
        <v>0</v>
      </c>
      <c r="K54" s="34">
        <f t="shared" si="35"/>
        <v>0</v>
      </c>
      <c r="L54" s="34">
        <f t="shared" si="35"/>
        <v>0</v>
      </c>
      <c r="M54" s="34">
        <f t="shared" si="35"/>
        <v>0</v>
      </c>
      <c r="N54" s="34">
        <f t="shared" si="35"/>
        <v>0</v>
      </c>
      <c r="O54" s="33"/>
      <c r="P54" s="35"/>
      <c r="Q54" s="35"/>
    </row>
    <row r="55" spans="1:17" ht="47.25">
      <c r="A55" s="50" t="s">
        <v>32</v>
      </c>
      <c r="B55" s="30" t="s">
        <v>62</v>
      </c>
      <c r="C55" s="32">
        <f>SUM(D55:E55)</f>
        <v>7323905353</v>
      </c>
      <c r="D55" s="32">
        <v>7323905353</v>
      </c>
      <c r="E55" s="32">
        <v>0</v>
      </c>
      <c r="F55" s="32">
        <f>SUM(G55:H55)</f>
        <v>7323905353</v>
      </c>
      <c r="G55" s="32">
        <v>7323905353</v>
      </c>
      <c r="H55" s="32">
        <v>0</v>
      </c>
      <c r="I55" s="32">
        <f>SUM(J55:K55)</f>
        <v>0</v>
      </c>
      <c r="J55" s="32"/>
      <c r="K55" s="32"/>
      <c r="L55" s="32">
        <f>SUM(M55:N55)</f>
        <v>0</v>
      </c>
      <c r="M55" s="32">
        <f>D55-G55+J55</f>
        <v>0</v>
      </c>
      <c r="N55" s="32">
        <f>E55-H55+K55</f>
        <v>0</v>
      </c>
      <c r="O55" s="30"/>
      <c r="P55" s="31"/>
      <c r="Q55" s="31"/>
    </row>
    <row r="56" spans="1:17" s="2" customFormat="1" ht="54.75" customHeight="1">
      <c r="A56" s="49">
        <v>3</v>
      </c>
      <c r="B56" s="33" t="s">
        <v>64</v>
      </c>
      <c r="C56" s="34">
        <f>SUM(C57:C58)</f>
        <v>2222252110</v>
      </c>
      <c r="D56" s="34">
        <f t="shared" ref="D56:N56" si="36">SUM(D57:D58)</f>
        <v>2222252110</v>
      </c>
      <c r="E56" s="34">
        <f t="shared" si="36"/>
        <v>0</v>
      </c>
      <c r="F56" s="34">
        <f t="shared" si="36"/>
        <v>1255722110</v>
      </c>
      <c r="G56" s="34">
        <f t="shared" si="36"/>
        <v>1255722110</v>
      </c>
      <c r="H56" s="34">
        <f t="shared" si="36"/>
        <v>0</v>
      </c>
      <c r="I56" s="34">
        <f t="shared" si="36"/>
        <v>0</v>
      </c>
      <c r="J56" s="34">
        <f t="shared" si="36"/>
        <v>0</v>
      </c>
      <c r="K56" s="34">
        <f t="shared" si="36"/>
        <v>0</v>
      </c>
      <c r="L56" s="34">
        <f t="shared" si="36"/>
        <v>966529999.99999988</v>
      </c>
      <c r="M56" s="34">
        <f t="shared" si="36"/>
        <v>966529999.99999988</v>
      </c>
      <c r="N56" s="34">
        <f t="shared" si="36"/>
        <v>0</v>
      </c>
      <c r="O56" s="33"/>
      <c r="P56" s="35"/>
      <c r="Q56" s="35"/>
    </row>
    <row r="57" spans="1:17" ht="70.5" customHeight="1">
      <c r="A57" s="50" t="s">
        <v>32</v>
      </c>
      <c r="B57" s="30" t="s">
        <v>69</v>
      </c>
      <c r="C57" s="32">
        <f>SUM(D57:E57)</f>
        <v>198339119.99999991</v>
      </c>
      <c r="D57" s="32">
        <v>198339119.99999991</v>
      </c>
      <c r="E57" s="32">
        <v>0</v>
      </c>
      <c r="F57" s="32">
        <f>SUM(G57:H57)</f>
        <v>198339120</v>
      </c>
      <c r="G57" s="32">
        <v>198339120</v>
      </c>
      <c r="H57" s="32">
        <v>0</v>
      </c>
      <c r="I57" s="32">
        <f>SUM(J57:K57)</f>
        <v>0</v>
      </c>
      <c r="J57" s="32"/>
      <c r="K57" s="32"/>
      <c r="L57" s="32">
        <f>SUM(M57:N57)</f>
        <v>-8.9406967163085938E-8</v>
      </c>
      <c r="M57" s="32">
        <f>D57-G57+J57</f>
        <v>-8.9406967163085938E-8</v>
      </c>
      <c r="N57" s="32">
        <f>E57-H57+K57</f>
        <v>0</v>
      </c>
      <c r="O57" s="30" t="s">
        <v>37</v>
      </c>
      <c r="P57" s="31"/>
      <c r="Q57" s="31"/>
    </row>
    <row r="58" spans="1:17" ht="53.25" customHeight="1">
      <c r="A58" s="50" t="s">
        <v>32</v>
      </c>
      <c r="B58" s="30" t="s">
        <v>68</v>
      </c>
      <c r="C58" s="32">
        <f>SUM(D58:E58)</f>
        <v>2023912990</v>
      </c>
      <c r="D58" s="32">
        <v>2023912990</v>
      </c>
      <c r="E58" s="32">
        <v>0</v>
      </c>
      <c r="F58" s="32">
        <f>SUM(G58:H58)</f>
        <v>1057382990</v>
      </c>
      <c r="G58" s="32">
        <v>1057382990</v>
      </c>
      <c r="H58" s="32">
        <v>0</v>
      </c>
      <c r="I58" s="32">
        <f>SUM(J58:K58)</f>
        <v>0</v>
      </c>
      <c r="J58" s="32"/>
      <c r="K58" s="32"/>
      <c r="L58" s="32">
        <f>SUM(M58:N58)</f>
        <v>966530000</v>
      </c>
      <c r="M58" s="32">
        <f>D58-G58+J58</f>
        <v>966530000</v>
      </c>
      <c r="N58" s="32">
        <f>E58-H58+K58</f>
        <v>0</v>
      </c>
      <c r="O58" s="30" t="s">
        <v>37</v>
      </c>
      <c r="P58" s="31"/>
      <c r="Q58" s="31"/>
    </row>
    <row r="59" spans="1:17" s="2" customFormat="1" ht="70.5" customHeight="1">
      <c r="A59" s="49">
        <v>4</v>
      </c>
      <c r="B59" s="33" t="s">
        <v>47</v>
      </c>
      <c r="C59" s="34">
        <f>SUM(C60:C61)</f>
        <v>1092972670</v>
      </c>
      <c r="D59" s="34">
        <f t="shared" ref="D59:N59" si="37">SUM(D60:D61)</f>
        <v>1032276600</v>
      </c>
      <c r="E59" s="34">
        <f t="shared" si="37"/>
        <v>60696070</v>
      </c>
      <c r="F59" s="34">
        <f t="shared" si="37"/>
        <v>1092972670</v>
      </c>
      <c r="G59" s="34">
        <f t="shared" si="37"/>
        <v>1032276600</v>
      </c>
      <c r="H59" s="34">
        <f t="shared" si="37"/>
        <v>60696070</v>
      </c>
      <c r="I59" s="34">
        <f t="shared" si="37"/>
        <v>0</v>
      </c>
      <c r="J59" s="34">
        <f t="shared" si="37"/>
        <v>0</v>
      </c>
      <c r="K59" s="34">
        <f t="shared" si="37"/>
        <v>0</v>
      </c>
      <c r="L59" s="34">
        <f t="shared" si="37"/>
        <v>0</v>
      </c>
      <c r="M59" s="34">
        <f t="shared" si="37"/>
        <v>0</v>
      </c>
      <c r="N59" s="34">
        <f t="shared" si="37"/>
        <v>0</v>
      </c>
      <c r="O59" s="33"/>
      <c r="P59" s="35"/>
      <c r="Q59" s="35"/>
    </row>
    <row r="60" spans="1:17" ht="25.5" customHeight="1">
      <c r="A60" s="50" t="s">
        <v>32</v>
      </c>
      <c r="B60" s="30" t="s">
        <v>34</v>
      </c>
      <c r="C60" s="32">
        <f>SUM(D60:E60)</f>
        <v>798000000</v>
      </c>
      <c r="D60" s="32">
        <v>760000000</v>
      </c>
      <c r="E60" s="32">
        <v>38000000</v>
      </c>
      <c r="F60" s="32">
        <f>SUM(G60:H60)</f>
        <v>798000000</v>
      </c>
      <c r="G60" s="32">
        <v>760000000</v>
      </c>
      <c r="H60" s="32">
        <v>38000000</v>
      </c>
      <c r="I60" s="32">
        <f>SUM(J60:K60)</f>
        <v>0</v>
      </c>
      <c r="J60" s="51"/>
      <c r="K60" s="51"/>
      <c r="L60" s="32">
        <f>SUM(M60:N60)</f>
        <v>0</v>
      </c>
      <c r="M60" s="32">
        <f>D60-G60+J60</f>
        <v>0</v>
      </c>
      <c r="N60" s="32">
        <f>E60-H60+K60</f>
        <v>0</v>
      </c>
      <c r="O60" s="6" t="s">
        <v>34</v>
      </c>
      <c r="P60" s="31"/>
      <c r="Q60" s="31"/>
    </row>
    <row r="61" spans="1:17" ht="34.5" customHeight="1">
      <c r="A61" s="50" t="s">
        <v>32</v>
      </c>
      <c r="B61" s="30" t="s">
        <v>67</v>
      </c>
      <c r="C61" s="32">
        <f>SUM(D61:E61)</f>
        <v>294972670</v>
      </c>
      <c r="D61" s="32">
        <v>272276600</v>
      </c>
      <c r="E61" s="32">
        <v>22696070</v>
      </c>
      <c r="F61" s="32">
        <f>SUM(G61:H61)</f>
        <v>294972670</v>
      </c>
      <c r="G61" s="32">
        <v>272276600</v>
      </c>
      <c r="H61" s="32">
        <v>22696070</v>
      </c>
      <c r="I61" s="32">
        <f>SUM(J61:K61)</f>
        <v>0</v>
      </c>
      <c r="J61" s="51"/>
      <c r="K61" s="51"/>
      <c r="L61" s="32">
        <f>SUM(M61:N61)</f>
        <v>0</v>
      </c>
      <c r="M61" s="32">
        <f>D61-G61+J61</f>
        <v>0</v>
      </c>
      <c r="N61" s="32">
        <f>E61-H61+K61</f>
        <v>0</v>
      </c>
      <c r="O61" s="22" t="s">
        <v>42</v>
      </c>
      <c r="P61" s="31"/>
      <c r="Q61" s="31"/>
    </row>
    <row r="62" spans="1:17" s="2" customFormat="1" ht="70.5" customHeight="1">
      <c r="A62" s="49">
        <v>5</v>
      </c>
      <c r="B62" s="33" t="s">
        <v>53</v>
      </c>
      <c r="C62" s="34">
        <f>C63</f>
        <v>1001567.0000000014</v>
      </c>
      <c r="D62" s="34">
        <f t="shared" ref="D62:N62" si="38">D63</f>
        <v>525366.99999999569</v>
      </c>
      <c r="E62" s="34">
        <f t="shared" si="38"/>
        <v>476200.0000000057</v>
      </c>
      <c r="F62" s="34">
        <f t="shared" si="38"/>
        <v>1001567.0000000014</v>
      </c>
      <c r="G62" s="34">
        <f t="shared" si="38"/>
        <v>525366.99999999569</v>
      </c>
      <c r="H62" s="34">
        <f t="shared" si="38"/>
        <v>476200.0000000057</v>
      </c>
      <c r="I62" s="34">
        <f t="shared" si="38"/>
        <v>0</v>
      </c>
      <c r="J62" s="34">
        <f t="shared" si="38"/>
        <v>0</v>
      </c>
      <c r="K62" s="34">
        <f t="shared" si="38"/>
        <v>0</v>
      </c>
      <c r="L62" s="34">
        <f t="shared" si="38"/>
        <v>0</v>
      </c>
      <c r="M62" s="34">
        <f t="shared" si="38"/>
        <v>0</v>
      </c>
      <c r="N62" s="34">
        <f t="shared" si="38"/>
        <v>0</v>
      </c>
      <c r="O62" s="33"/>
      <c r="P62" s="35"/>
      <c r="Q62" s="35"/>
    </row>
    <row r="63" spans="1:17" ht="70.5" customHeight="1">
      <c r="A63" s="50" t="s">
        <v>32</v>
      </c>
      <c r="B63" s="30" t="s">
        <v>54</v>
      </c>
      <c r="C63" s="32">
        <f>SUM(D63:E63)</f>
        <v>1001567.0000000014</v>
      </c>
      <c r="D63" s="32">
        <v>525366.99999999569</v>
      </c>
      <c r="E63" s="32">
        <v>476200.0000000057</v>
      </c>
      <c r="F63" s="32">
        <f>SUM(G63:H63)</f>
        <v>1001567.0000000014</v>
      </c>
      <c r="G63" s="32">
        <v>525366.99999999569</v>
      </c>
      <c r="H63" s="32">
        <v>476200.0000000057</v>
      </c>
      <c r="I63" s="32">
        <f>SUM(J63:K63)</f>
        <v>0</v>
      </c>
      <c r="J63" s="32"/>
      <c r="K63" s="32"/>
      <c r="L63" s="32">
        <f>SUM(M63:N63)</f>
        <v>0</v>
      </c>
      <c r="M63" s="32">
        <f>D63-G63+J63</f>
        <v>0</v>
      </c>
      <c r="N63" s="32">
        <f>E63-H63+K63</f>
        <v>0</v>
      </c>
      <c r="O63" s="22" t="s">
        <v>42</v>
      </c>
      <c r="P63" s="31"/>
      <c r="Q63" s="31"/>
    </row>
    <row r="64" spans="1:17" s="2" customFormat="1" ht="87.75" customHeight="1">
      <c r="A64" s="49">
        <v>6</v>
      </c>
      <c r="B64" s="33" t="s">
        <v>65</v>
      </c>
      <c r="C64" s="34">
        <f>SUM(C65:C66)</f>
        <v>781939496</v>
      </c>
      <c r="D64" s="34">
        <f t="shared" ref="D64:N64" si="39">SUM(D65:D66)</f>
        <v>719332936</v>
      </c>
      <c r="E64" s="34">
        <f t="shared" si="39"/>
        <v>62606560</v>
      </c>
      <c r="F64" s="34">
        <f t="shared" si="39"/>
        <v>569469496</v>
      </c>
      <c r="G64" s="34">
        <f t="shared" si="39"/>
        <v>506862936</v>
      </c>
      <c r="H64" s="34">
        <f t="shared" si="39"/>
        <v>62606560</v>
      </c>
      <c r="I64" s="34">
        <f t="shared" si="39"/>
        <v>0</v>
      </c>
      <c r="J64" s="34">
        <f t="shared" si="39"/>
        <v>0</v>
      </c>
      <c r="K64" s="34">
        <f t="shared" si="39"/>
        <v>0</v>
      </c>
      <c r="L64" s="34">
        <f t="shared" si="39"/>
        <v>212470000</v>
      </c>
      <c r="M64" s="34">
        <f t="shared" si="39"/>
        <v>212470000</v>
      </c>
      <c r="N64" s="34">
        <f t="shared" si="39"/>
        <v>0</v>
      </c>
      <c r="O64" s="33"/>
      <c r="P64" s="35"/>
      <c r="Q64" s="35"/>
    </row>
    <row r="65" spans="1:17" ht="183.75" customHeight="1">
      <c r="A65" s="50" t="s">
        <v>32</v>
      </c>
      <c r="B65" s="30" t="s">
        <v>66</v>
      </c>
      <c r="C65" s="32">
        <f>SUM(D65:E65)</f>
        <v>767922860</v>
      </c>
      <c r="D65" s="32">
        <v>709316300</v>
      </c>
      <c r="E65" s="32">
        <v>58606560</v>
      </c>
      <c r="F65" s="32">
        <f>SUM(G65:H65)</f>
        <v>555452860</v>
      </c>
      <c r="G65" s="32">
        <v>496846300</v>
      </c>
      <c r="H65" s="32">
        <v>58606560</v>
      </c>
      <c r="I65" s="32">
        <f>SUM(J65:K65)</f>
        <v>0</v>
      </c>
      <c r="J65" s="32"/>
      <c r="K65" s="32"/>
      <c r="L65" s="32">
        <f>SUM(M65:N65)</f>
        <v>212470000</v>
      </c>
      <c r="M65" s="32">
        <f>D65-G65+J65</f>
        <v>212470000</v>
      </c>
      <c r="N65" s="32">
        <f>E65-H65+K65</f>
        <v>0</v>
      </c>
      <c r="O65" s="30" t="s">
        <v>41</v>
      </c>
      <c r="P65" s="31"/>
      <c r="Q65" s="31"/>
    </row>
    <row r="66" spans="1:17" ht="54.75" customHeight="1">
      <c r="A66" s="50" t="s">
        <v>32</v>
      </c>
      <c r="B66" s="30" t="s">
        <v>46</v>
      </c>
      <c r="C66" s="32">
        <f>SUM(D66:E66)</f>
        <v>14016636</v>
      </c>
      <c r="D66" s="32">
        <v>10016636</v>
      </c>
      <c r="E66" s="32">
        <v>4000000</v>
      </c>
      <c r="F66" s="32">
        <f>SUM(G66:H66)</f>
        <v>14016636</v>
      </c>
      <c r="G66" s="32">
        <v>10016636</v>
      </c>
      <c r="H66" s="32">
        <v>4000000</v>
      </c>
      <c r="I66" s="32">
        <f>SUM(J66:K66)</f>
        <v>0</v>
      </c>
      <c r="J66" s="51"/>
      <c r="K66" s="51"/>
      <c r="L66" s="32">
        <f>SUM(M66:N66)</f>
        <v>0</v>
      </c>
      <c r="M66" s="32">
        <f>D66-G66+J66</f>
        <v>0</v>
      </c>
      <c r="N66" s="32">
        <f>E66-H66+K66</f>
        <v>0</v>
      </c>
      <c r="O66" s="30" t="s">
        <v>34</v>
      </c>
      <c r="P66" s="31"/>
      <c r="Q66" s="31"/>
    </row>
    <row r="67" spans="1:17" s="2" customFormat="1" ht="70.5" customHeight="1">
      <c r="A67" s="49">
        <v>7</v>
      </c>
      <c r="B67" s="33" t="s">
        <v>63</v>
      </c>
      <c r="C67" s="34">
        <f>C68</f>
        <v>73819646.00000003</v>
      </c>
      <c r="D67" s="34">
        <f t="shared" ref="D67:N67" si="40">D68</f>
        <v>55319111.00000003</v>
      </c>
      <c r="E67" s="34">
        <f t="shared" si="40"/>
        <v>18500535.000000004</v>
      </c>
      <c r="F67" s="34">
        <f t="shared" si="40"/>
        <v>0</v>
      </c>
      <c r="G67" s="34">
        <f t="shared" si="40"/>
        <v>0</v>
      </c>
      <c r="H67" s="34">
        <f t="shared" si="40"/>
        <v>0</v>
      </c>
      <c r="I67" s="34">
        <f t="shared" si="40"/>
        <v>10714167276.000002</v>
      </c>
      <c r="J67" s="34">
        <f t="shared" si="40"/>
        <v>10539864966.000002</v>
      </c>
      <c r="K67" s="34">
        <f t="shared" si="40"/>
        <v>174302310</v>
      </c>
      <c r="L67" s="34">
        <f t="shared" si="40"/>
        <v>10787986922.000002</v>
      </c>
      <c r="M67" s="34">
        <f t="shared" si="40"/>
        <v>10595184077.000002</v>
      </c>
      <c r="N67" s="34">
        <f t="shared" si="40"/>
        <v>192802845</v>
      </c>
      <c r="O67" s="9"/>
      <c r="P67" s="35"/>
      <c r="Q67" s="35"/>
    </row>
    <row r="68" spans="1:17" ht="70.5" customHeight="1">
      <c r="A68" s="50" t="s">
        <v>32</v>
      </c>
      <c r="B68" s="30" t="s">
        <v>39</v>
      </c>
      <c r="C68" s="32">
        <f>SUM(D68:E68)</f>
        <v>73819646.00000003</v>
      </c>
      <c r="D68" s="32">
        <v>55319111.00000003</v>
      </c>
      <c r="E68" s="32">
        <v>18500535.000000004</v>
      </c>
      <c r="F68" s="32">
        <f>SUM(G68:H68)</f>
        <v>0</v>
      </c>
      <c r="G68" s="32"/>
      <c r="H68" s="32"/>
      <c r="I68" s="32">
        <f>SUM(J68:K68)</f>
        <v>10714167276.000002</v>
      </c>
      <c r="J68" s="32">
        <v>10539864966.000002</v>
      </c>
      <c r="K68" s="32">
        <v>174302310</v>
      </c>
      <c r="L68" s="32">
        <f>SUM(M68:N68)</f>
        <v>10787986922.000002</v>
      </c>
      <c r="M68" s="32">
        <f>D68-G68+J68</f>
        <v>10595184077.000002</v>
      </c>
      <c r="N68" s="32">
        <f>E68-H68+K68</f>
        <v>192802845</v>
      </c>
      <c r="O68" s="6" t="s">
        <v>34</v>
      </c>
      <c r="P68" s="31"/>
      <c r="Q68" s="31"/>
    </row>
    <row r="69" spans="1:17" s="2" customFormat="1" ht="70.5" customHeight="1">
      <c r="A69" s="49">
        <v>8</v>
      </c>
      <c r="B69" s="33" t="s">
        <v>44</v>
      </c>
      <c r="C69" s="34">
        <f>SUM(D69:E69)</f>
        <v>2270600</v>
      </c>
      <c r="D69" s="34">
        <v>0</v>
      </c>
      <c r="E69" s="34">
        <v>2270600</v>
      </c>
      <c r="F69" s="34">
        <f>SUM(G69:H69)</f>
        <v>0</v>
      </c>
      <c r="G69" s="34"/>
      <c r="H69" s="34"/>
      <c r="I69" s="34">
        <f>SUM(J69:K69)</f>
        <v>487729400</v>
      </c>
      <c r="J69" s="34">
        <v>487729400</v>
      </c>
      <c r="K69" s="34">
        <v>0</v>
      </c>
      <c r="L69" s="34">
        <f>SUM(M69:N69)</f>
        <v>490000000</v>
      </c>
      <c r="M69" s="34">
        <f>D69-G69+J69</f>
        <v>487729400</v>
      </c>
      <c r="N69" s="34">
        <f>E69-H69+K69</f>
        <v>2270600</v>
      </c>
      <c r="O69" s="30" t="s">
        <v>41</v>
      </c>
      <c r="P69" s="35"/>
      <c r="Q69" s="35"/>
    </row>
    <row r="70" spans="1:17" s="2" customFormat="1" ht="31.5" customHeight="1">
      <c r="A70" s="23" t="s">
        <v>56</v>
      </c>
      <c r="B70" s="24" t="s">
        <v>48</v>
      </c>
      <c r="C70" s="25">
        <f>C71</f>
        <v>23909721519</v>
      </c>
      <c r="D70" s="25">
        <f t="shared" ref="D70:N70" si="41">D71</f>
        <v>23784463519</v>
      </c>
      <c r="E70" s="25">
        <f t="shared" si="41"/>
        <v>125258000</v>
      </c>
      <c r="F70" s="25">
        <f t="shared" si="41"/>
        <v>17744859375</v>
      </c>
      <c r="G70" s="25">
        <f t="shared" si="41"/>
        <v>17743213375</v>
      </c>
      <c r="H70" s="25">
        <f t="shared" si="41"/>
        <v>1646000</v>
      </c>
      <c r="I70" s="25">
        <f t="shared" si="41"/>
        <v>17744859375</v>
      </c>
      <c r="J70" s="25">
        <f t="shared" si="41"/>
        <v>17743213375</v>
      </c>
      <c r="K70" s="25">
        <f t="shared" si="41"/>
        <v>1646000</v>
      </c>
      <c r="L70" s="25">
        <f t="shared" si="41"/>
        <v>23909721519</v>
      </c>
      <c r="M70" s="25">
        <f t="shared" si="41"/>
        <v>23784463519</v>
      </c>
      <c r="N70" s="25">
        <f t="shared" si="41"/>
        <v>125258000</v>
      </c>
      <c r="O70" s="26"/>
    </row>
    <row r="71" spans="1:17" ht="37.5" customHeight="1">
      <c r="A71" s="52" t="s">
        <v>28</v>
      </c>
      <c r="B71" s="47" t="s">
        <v>43</v>
      </c>
      <c r="C71" s="53">
        <f>C72+C75+C76+C78+C80</f>
        <v>23909721519</v>
      </c>
      <c r="D71" s="53">
        <f t="shared" ref="D71:N71" si="42">D72+D75+D76+D78+D80</f>
        <v>23784463519</v>
      </c>
      <c r="E71" s="53">
        <f t="shared" si="42"/>
        <v>125258000</v>
      </c>
      <c r="F71" s="53">
        <f t="shared" si="42"/>
        <v>17744859375</v>
      </c>
      <c r="G71" s="53">
        <f t="shared" si="42"/>
        <v>17743213375</v>
      </c>
      <c r="H71" s="53">
        <f t="shared" si="42"/>
        <v>1646000</v>
      </c>
      <c r="I71" s="53">
        <f t="shared" si="42"/>
        <v>17744859375</v>
      </c>
      <c r="J71" s="53">
        <f t="shared" si="42"/>
        <v>17743213375</v>
      </c>
      <c r="K71" s="53">
        <f t="shared" si="42"/>
        <v>1646000</v>
      </c>
      <c r="L71" s="53">
        <f t="shared" si="42"/>
        <v>23909721519</v>
      </c>
      <c r="M71" s="53">
        <f t="shared" si="42"/>
        <v>23784463519</v>
      </c>
      <c r="N71" s="53">
        <f t="shared" si="42"/>
        <v>125258000</v>
      </c>
      <c r="O71" s="47"/>
    </row>
    <row r="72" spans="1:17" s="2" customFormat="1" ht="87.75" customHeight="1">
      <c r="A72" s="41">
        <v>1</v>
      </c>
      <c r="B72" s="43" t="s">
        <v>51</v>
      </c>
      <c r="C72" s="42">
        <f>SUM(C73:C74)</f>
        <v>22210240023</v>
      </c>
      <c r="D72" s="42">
        <f t="shared" ref="D72:N72" si="43">SUM(D73:D74)</f>
        <v>22208594023</v>
      </c>
      <c r="E72" s="42">
        <f t="shared" si="43"/>
        <v>1646000</v>
      </c>
      <c r="F72" s="42">
        <f t="shared" si="43"/>
        <v>17307116953</v>
      </c>
      <c r="G72" s="42">
        <f t="shared" si="43"/>
        <v>17305470953</v>
      </c>
      <c r="H72" s="42">
        <f t="shared" si="43"/>
        <v>1646000</v>
      </c>
      <c r="I72" s="42">
        <f t="shared" si="43"/>
        <v>10426617370</v>
      </c>
      <c r="J72" s="42">
        <f t="shared" si="43"/>
        <v>10426617370</v>
      </c>
      <c r="K72" s="42">
        <f t="shared" si="43"/>
        <v>0</v>
      </c>
      <c r="L72" s="42">
        <f t="shared" si="43"/>
        <v>15329740440</v>
      </c>
      <c r="M72" s="42">
        <f t="shared" si="43"/>
        <v>15329740440</v>
      </c>
      <c r="N72" s="42">
        <f t="shared" si="43"/>
        <v>0</v>
      </c>
      <c r="O72" s="33"/>
    </row>
    <row r="73" spans="1:17" ht="69" customHeight="1">
      <c r="A73" s="38" t="s">
        <v>32</v>
      </c>
      <c r="B73" s="30" t="s">
        <v>70</v>
      </c>
      <c r="C73" s="39">
        <f>SUM(D73:E73)</f>
        <v>22198235023</v>
      </c>
      <c r="D73" s="39">
        <v>22198235023</v>
      </c>
      <c r="E73" s="39">
        <v>0</v>
      </c>
      <c r="F73" s="39">
        <f>SUM(G73:H73)</f>
        <v>17305470953</v>
      </c>
      <c r="G73" s="39">
        <v>17305470953</v>
      </c>
      <c r="H73" s="39">
        <v>0</v>
      </c>
      <c r="I73" s="39">
        <f>SUM(J73:K73)</f>
        <v>0</v>
      </c>
      <c r="J73" s="39">
        <v>0</v>
      </c>
      <c r="K73" s="39">
        <v>0</v>
      </c>
      <c r="L73" s="39">
        <f>SUM(M73:N73)</f>
        <v>4892764070</v>
      </c>
      <c r="M73" s="39">
        <f t="shared" ref="M73:N75" si="44">D73-G73+J73</f>
        <v>4892764070</v>
      </c>
      <c r="N73" s="39">
        <f t="shared" si="44"/>
        <v>0</v>
      </c>
      <c r="O73" s="6" t="s">
        <v>34</v>
      </c>
    </row>
    <row r="74" spans="1:17" ht="101.25" customHeight="1">
      <c r="A74" s="38" t="s">
        <v>32</v>
      </c>
      <c r="B74" s="6" t="s">
        <v>52</v>
      </c>
      <c r="C74" s="39">
        <f>SUM(D74:E74)</f>
        <v>12005000</v>
      </c>
      <c r="D74" s="39">
        <v>10359000</v>
      </c>
      <c r="E74" s="39">
        <v>1646000</v>
      </c>
      <c r="F74" s="39">
        <f>SUM(G74:H74)</f>
        <v>1646000</v>
      </c>
      <c r="G74" s="39"/>
      <c r="H74" s="39">
        <v>1646000</v>
      </c>
      <c r="I74" s="39">
        <f>SUM(J74:K74)</f>
        <v>10426617370</v>
      </c>
      <c r="J74" s="39">
        <v>10426617370</v>
      </c>
      <c r="K74" s="39"/>
      <c r="L74" s="39">
        <f>SUM(M74:N74)</f>
        <v>10436976370</v>
      </c>
      <c r="M74" s="39">
        <f t="shared" si="44"/>
        <v>10436976370</v>
      </c>
      <c r="N74" s="39">
        <f t="shared" si="44"/>
        <v>0</v>
      </c>
      <c r="O74" s="6" t="s">
        <v>34</v>
      </c>
    </row>
    <row r="75" spans="1:17" s="2" customFormat="1" ht="69" customHeight="1">
      <c r="A75" s="41">
        <v>2</v>
      </c>
      <c r="B75" s="33" t="s">
        <v>47</v>
      </c>
      <c r="C75" s="44">
        <f>SUM(D75:E75)</f>
        <v>1488321496</v>
      </c>
      <c r="D75" s="44">
        <v>1379321496</v>
      </c>
      <c r="E75" s="44">
        <v>109000000</v>
      </c>
      <c r="F75" s="44">
        <f>SUM(G75:H75)</f>
        <v>432742422</v>
      </c>
      <c r="G75" s="44">
        <v>432742422</v>
      </c>
      <c r="H75" s="44">
        <v>0</v>
      </c>
      <c r="I75" s="44"/>
      <c r="J75" s="44"/>
      <c r="K75" s="44"/>
      <c r="L75" s="44">
        <f>SUM(M75:N75)</f>
        <v>1055579074</v>
      </c>
      <c r="M75" s="44">
        <f t="shared" si="44"/>
        <v>946579074</v>
      </c>
      <c r="N75" s="44">
        <f t="shared" si="44"/>
        <v>109000000</v>
      </c>
      <c r="O75" s="39" t="s">
        <v>50</v>
      </c>
    </row>
    <row r="76" spans="1:17" s="2" customFormat="1" ht="84.75" customHeight="1">
      <c r="A76" s="41">
        <v>3</v>
      </c>
      <c r="B76" s="43" t="s">
        <v>72</v>
      </c>
      <c r="C76" s="44">
        <f>C77</f>
        <v>211160000</v>
      </c>
      <c r="D76" s="44">
        <f t="shared" ref="D76:N76" si="45">D77</f>
        <v>196548000</v>
      </c>
      <c r="E76" s="44">
        <f t="shared" si="45"/>
        <v>14612000</v>
      </c>
      <c r="F76" s="44">
        <f t="shared" si="45"/>
        <v>5000000</v>
      </c>
      <c r="G76" s="44">
        <f t="shared" si="45"/>
        <v>5000000</v>
      </c>
      <c r="H76" s="44">
        <f t="shared" si="45"/>
        <v>0</v>
      </c>
      <c r="I76" s="44">
        <f t="shared" si="45"/>
        <v>0</v>
      </c>
      <c r="J76" s="44">
        <f t="shared" si="45"/>
        <v>0</v>
      </c>
      <c r="K76" s="44">
        <f t="shared" si="45"/>
        <v>0</v>
      </c>
      <c r="L76" s="44">
        <f t="shared" si="45"/>
        <v>206160000</v>
      </c>
      <c r="M76" s="44">
        <f t="shared" si="45"/>
        <v>191548000</v>
      </c>
      <c r="N76" s="44">
        <f t="shared" si="45"/>
        <v>14612000</v>
      </c>
      <c r="O76" s="39" t="s">
        <v>41</v>
      </c>
    </row>
    <row r="77" spans="1:17" ht="54" customHeight="1">
      <c r="A77" s="54" t="s">
        <v>32</v>
      </c>
      <c r="B77" s="45" t="s">
        <v>73</v>
      </c>
      <c r="C77" s="40">
        <f>SUM(D77:E77)</f>
        <v>211160000</v>
      </c>
      <c r="D77" s="40">
        <v>196548000</v>
      </c>
      <c r="E77" s="40">
        <v>14612000</v>
      </c>
      <c r="F77" s="40">
        <f>SUM(G77:H77)</f>
        <v>5000000</v>
      </c>
      <c r="G77" s="40">
        <v>5000000</v>
      </c>
      <c r="H77" s="40"/>
      <c r="I77" s="40"/>
      <c r="J77" s="40"/>
      <c r="K77" s="40"/>
      <c r="L77" s="40">
        <f>SUM(M77:N77)</f>
        <v>206160000</v>
      </c>
      <c r="M77" s="40">
        <f>D77-G77+J77</f>
        <v>191548000</v>
      </c>
      <c r="N77" s="40">
        <f>E77-H77+K77</f>
        <v>14612000</v>
      </c>
      <c r="O77" s="37"/>
    </row>
    <row r="78" spans="1:17" s="2" customFormat="1" ht="54" customHeight="1">
      <c r="A78" s="41">
        <v>4</v>
      </c>
      <c r="B78" s="43" t="s">
        <v>128</v>
      </c>
      <c r="C78" s="42">
        <f>C79</f>
        <v>0</v>
      </c>
      <c r="D78" s="42">
        <f t="shared" ref="D78:N78" si="46">D79</f>
        <v>0</v>
      </c>
      <c r="E78" s="42">
        <f t="shared" si="46"/>
        <v>0</v>
      </c>
      <c r="F78" s="42">
        <f t="shared" si="46"/>
        <v>0</v>
      </c>
      <c r="G78" s="42">
        <f t="shared" si="46"/>
        <v>0</v>
      </c>
      <c r="H78" s="42">
        <f t="shared" si="46"/>
        <v>0</v>
      </c>
      <c r="I78" s="42">
        <f t="shared" si="46"/>
        <v>90000000</v>
      </c>
      <c r="J78" s="42">
        <f t="shared" si="46"/>
        <v>90000000</v>
      </c>
      <c r="K78" s="42">
        <f t="shared" si="46"/>
        <v>0</v>
      </c>
      <c r="L78" s="42">
        <f t="shared" si="46"/>
        <v>90000000</v>
      </c>
      <c r="M78" s="42">
        <f t="shared" si="46"/>
        <v>90000000</v>
      </c>
      <c r="N78" s="42">
        <f t="shared" si="46"/>
        <v>0</v>
      </c>
      <c r="O78" s="33"/>
    </row>
    <row r="79" spans="1:17" ht="39" customHeight="1">
      <c r="A79" s="38" t="s">
        <v>32</v>
      </c>
      <c r="B79" s="30" t="s">
        <v>59</v>
      </c>
      <c r="C79" s="39"/>
      <c r="D79" s="39"/>
      <c r="E79" s="39"/>
      <c r="F79" s="39"/>
      <c r="G79" s="39"/>
      <c r="H79" s="39"/>
      <c r="I79" s="39">
        <f>SUM(J79:K79)</f>
        <v>90000000</v>
      </c>
      <c r="J79" s="39">
        <v>90000000</v>
      </c>
      <c r="K79" s="39"/>
      <c r="L79" s="39">
        <f>SUM(M79:N79)</f>
        <v>90000000</v>
      </c>
      <c r="M79" s="39">
        <f>D79-G79+J79</f>
        <v>90000000</v>
      </c>
      <c r="N79" s="39">
        <f>E79-H79+K79</f>
        <v>0</v>
      </c>
      <c r="O79" s="6" t="s">
        <v>34</v>
      </c>
    </row>
    <row r="80" spans="1:17" s="2" customFormat="1" ht="69.75" customHeight="1">
      <c r="A80" s="41">
        <v>5</v>
      </c>
      <c r="B80" s="43" t="s">
        <v>71</v>
      </c>
      <c r="C80" s="42">
        <f>C81</f>
        <v>0</v>
      </c>
      <c r="D80" s="42">
        <f t="shared" ref="D80:N80" si="47">D81</f>
        <v>0</v>
      </c>
      <c r="E80" s="42">
        <f t="shared" si="47"/>
        <v>0</v>
      </c>
      <c r="F80" s="42">
        <f t="shared" si="47"/>
        <v>0</v>
      </c>
      <c r="G80" s="42">
        <f t="shared" si="47"/>
        <v>0</v>
      </c>
      <c r="H80" s="42">
        <f t="shared" si="47"/>
        <v>0</v>
      </c>
      <c r="I80" s="42">
        <f t="shared" si="47"/>
        <v>7228242005</v>
      </c>
      <c r="J80" s="42">
        <f t="shared" si="47"/>
        <v>7226596005</v>
      </c>
      <c r="K80" s="42">
        <f t="shared" si="47"/>
        <v>1646000</v>
      </c>
      <c r="L80" s="42">
        <f t="shared" si="47"/>
        <v>7228242005</v>
      </c>
      <c r="M80" s="42">
        <f t="shared" si="47"/>
        <v>7226596005</v>
      </c>
      <c r="N80" s="42">
        <f t="shared" si="47"/>
        <v>1646000</v>
      </c>
      <c r="O80" s="6"/>
    </row>
    <row r="81" spans="1:15" s="86" customFormat="1" ht="69.75" customHeight="1">
      <c r="A81" s="38" t="s">
        <v>32</v>
      </c>
      <c r="B81" s="6" t="s">
        <v>39</v>
      </c>
      <c r="C81" s="39">
        <f>SUM(D81:E81)</f>
        <v>0</v>
      </c>
      <c r="D81" s="39"/>
      <c r="E81" s="39"/>
      <c r="F81" s="39">
        <f>SUM(G81:H81)</f>
        <v>0</v>
      </c>
      <c r="G81" s="39"/>
      <c r="H81" s="39"/>
      <c r="I81" s="39">
        <f>SUM(J81:K81)</f>
        <v>7228242005</v>
      </c>
      <c r="J81" s="39">
        <v>7226596005</v>
      </c>
      <c r="K81" s="39">
        <v>1646000</v>
      </c>
      <c r="L81" s="39">
        <f>SUM(M81:N81)</f>
        <v>7228242005</v>
      </c>
      <c r="M81" s="39">
        <f>D81-G81+J81</f>
        <v>7226596005</v>
      </c>
      <c r="N81" s="39">
        <f>E81-H81+K81</f>
        <v>1646000</v>
      </c>
      <c r="O81" s="6" t="s">
        <v>34</v>
      </c>
    </row>
    <row r="82" spans="1:15" s="2" customFormat="1" ht="31.5" customHeight="1">
      <c r="A82" s="23" t="s">
        <v>74</v>
      </c>
      <c r="B82" s="24" t="s">
        <v>81</v>
      </c>
      <c r="C82" s="25">
        <f>C83</f>
        <v>26622679145</v>
      </c>
      <c r="D82" s="25">
        <f t="shared" ref="D82:N82" si="48">D83</f>
        <v>25851295230</v>
      </c>
      <c r="E82" s="25">
        <f t="shared" si="48"/>
        <v>771383915</v>
      </c>
      <c r="F82" s="25">
        <f t="shared" si="48"/>
        <v>5006556600</v>
      </c>
      <c r="G82" s="25">
        <f t="shared" si="48"/>
        <v>4954785900</v>
      </c>
      <c r="H82" s="25">
        <f t="shared" si="48"/>
        <v>51770700</v>
      </c>
      <c r="I82" s="25">
        <f t="shared" si="48"/>
        <v>5006556600</v>
      </c>
      <c r="J82" s="25">
        <f t="shared" si="48"/>
        <v>4954785900</v>
      </c>
      <c r="K82" s="25">
        <f t="shared" si="48"/>
        <v>51770700</v>
      </c>
      <c r="L82" s="25">
        <f t="shared" si="48"/>
        <v>26622679145</v>
      </c>
      <c r="M82" s="25">
        <f t="shared" si="48"/>
        <v>25851295230</v>
      </c>
      <c r="N82" s="25">
        <f t="shared" si="48"/>
        <v>771383915</v>
      </c>
      <c r="O82" s="26"/>
    </row>
    <row r="83" spans="1:15" s="2" customFormat="1" ht="39.75" customHeight="1">
      <c r="A83" s="14" t="s">
        <v>28</v>
      </c>
      <c r="B83" s="15" t="s">
        <v>43</v>
      </c>
      <c r="C83" s="21">
        <f>C84+C86+C89+C92</f>
        <v>26622679145</v>
      </c>
      <c r="D83" s="21">
        <f t="shared" ref="D83:N83" si="49">D84+D86+D89+D92</f>
        <v>25851295230</v>
      </c>
      <c r="E83" s="21">
        <f t="shared" si="49"/>
        <v>771383915</v>
      </c>
      <c r="F83" s="21">
        <f t="shared" si="49"/>
        <v>5006556600</v>
      </c>
      <c r="G83" s="21">
        <f t="shared" si="49"/>
        <v>4954785900</v>
      </c>
      <c r="H83" s="21">
        <f t="shared" si="49"/>
        <v>51770700</v>
      </c>
      <c r="I83" s="21">
        <f t="shared" si="49"/>
        <v>5006556600</v>
      </c>
      <c r="J83" s="21">
        <f t="shared" si="49"/>
        <v>4954785900</v>
      </c>
      <c r="K83" s="21">
        <f t="shared" si="49"/>
        <v>51770700</v>
      </c>
      <c r="L83" s="21">
        <f t="shared" si="49"/>
        <v>26622679145</v>
      </c>
      <c r="M83" s="21">
        <f t="shared" si="49"/>
        <v>25851295230</v>
      </c>
      <c r="N83" s="21">
        <f t="shared" si="49"/>
        <v>771383915</v>
      </c>
      <c r="O83" s="16"/>
    </row>
    <row r="84" spans="1:15" s="2" customFormat="1" ht="87.75" customHeight="1">
      <c r="A84" s="8">
        <v>1</v>
      </c>
      <c r="B84" s="9" t="s">
        <v>31</v>
      </c>
      <c r="C84" s="20">
        <f>C85</f>
        <v>13912443000</v>
      </c>
      <c r="D84" s="20">
        <f t="shared" ref="D84:N84" si="50">D85</f>
        <v>13912443000</v>
      </c>
      <c r="E84" s="20">
        <f t="shared" si="50"/>
        <v>0</v>
      </c>
      <c r="F84" s="20">
        <f t="shared" si="50"/>
        <v>1886094500</v>
      </c>
      <c r="G84" s="20">
        <f t="shared" si="50"/>
        <v>1886094500</v>
      </c>
      <c r="H84" s="20">
        <f t="shared" si="50"/>
        <v>0</v>
      </c>
      <c r="I84" s="20">
        <f t="shared" si="50"/>
        <v>0</v>
      </c>
      <c r="J84" s="20">
        <f t="shared" si="50"/>
        <v>0</v>
      </c>
      <c r="K84" s="20">
        <f t="shared" si="50"/>
        <v>0</v>
      </c>
      <c r="L84" s="20">
        <f t="shared" si="50"/>
        <v>12026348500</v>
      </c>
      <c r="M84" s="20">
        <f t="shared" si="50"/>
        <v>12026348500</v>
      </c>
      <c r="N84" s="20">
        <f t="shared" si="50"/>
        <v>0</v>
      </c>
      <c r="O84" s="10"/>
    </row>
    <row r="85" spans="1:15" ht="69" customHeight="1">
      <c r="A85" s="19" t="s">
        <v>32</v>
      </c>
      <c r="B85" s="6" t="s">
        <v>33</v>
      </c>
      <c r="C85" s="18">
        <f>SUM(D85:E85)</f>
        <v>13912443000</v>
      </c>
      <c r="D85" s="18">
        <v>13912443000</v>
      </c>
      <c r="E85" s="18"/>
      <c r="F85" s="18">
        <f>SUM(G85:H85)</f>
        <v>1886094500</v>
      </c>
      <c r="G85" s="18">
        <v>1886094500</v>
      </c>
      <c r="H85" s="18"/>
      <c r="I85" s="18"/>
      <c r="J85" s="18"/>
      <c r="K85" s="18"/>
      <c r="L85" s="18">
        <f>SUM(M85:N85)</f>
        <v>12026348500</v>
      </c>
      <c r="M85" s="18">
        <f>D85-G85+J85</f>
        <v>12026348500</v>
      </c>
      <c r="N85" s="18">
        <f>E85-H85+K85</f>
        <v>0</v>
      </c>
      <c r="O85" s="7" t="s">
        <v>34</v>
      </c>
    </row>
    <row r="86" spans="1:15" s="2" customFormat="1" ht="54" customHeight="1">
      <c r="A86" s="8">
        <v>2</v>
      </c>
      <c r="B86" s="9" t="s">
        <v>35</v>
      </c>
      <c r="C86" s="20">
        <f>C87+C88</f>
        <v>8453000000</v>
      </c>
      <c r="D86" s="20">
        <f t="shared" ref="D86:N86" si="51">D87+D88</f>
        <v>7895000000</v>
      </c>
      <c r="E86" s="20">
        <f t="shared" si="51"/>
        <v>558000000</v>
      </c>
      <c r="F86" s="20">
        <f t="shared" si="51"/>
        <v>2412204000</v>
      </c>
      <c r="G86" s="20">
        <f t="shared" si="51"/>
        <v>2365756000</v>
      </c>
      <c r="H86" s="20">
        <f t="shared" si="51"/>
        <v>46448000</v>
      </c>
      <c r="I86" s="20">
        <f t="shared" si="51"/>
        <v>0</v>
      </c>
      <c r="J86" s="20">
        <f t="shared" si="51"/>
        <v>0</v>
      </c>
      <c r="K86" s="20">
        <f t="shared" si="51"/>
        <v>0</v>
      </c>
      <c r="L86" s="20">
        <f t="shared" si="51"/>
        <v>6040796000</v>
      </c>
      <c r="M86" s="20">
        <f t="shared" si="51"/>
        <v>5529244000</v>
      </c>
      <c r="N86" s="20">
        <f t="shared" si="51"/>
        <v>511552000</v>
      </c>
      <c r="O86" s="10"/>
    </row>
    <row r="87" spans="1:15" ht="69.75" customHeight="1">
      <c r="A87" s="19" t="s">
        <v>32</v>
      </c>
      <c r="B87" s="6" t="s">
        <v>36</v>
      </c>
      <c r="C87" s="18">
        <f>SUM(D87:E87)</f>
        <v>6041000000</v>
      </c>
      <c r="D87" s="18">
        <v>5483000000</v>
      </c>
      <c r="E87" s="18">
        <v>558000000</v>
      </c>
      <c r="F87" s="18">
        <f>SUM(G87:H87)</f>
        <v>233771000</v>
      </c>
      <c r="G87" s="18">
        <v>187323000</v>
      </c>
      <c r="H87" s="18">
        <v>46448000</v>
      </c>
      <c r="I87" s="18"/>
      <c r="J87" s="18"/>
      <c r="K87" s="18"/>
      <c r="L87" s="18">
        <f>SUM(M87:N87)</f>
        <v>5807229000</v>
      </c>
      <c r="M87" s="18">
        <f>D87-G87+J87</f>
        <v>5295677000</v>
      </c>
      <c r="N87" s="18">
        <f>E87-H87+K87</f>
        <v>511552000</v>
      </c>
      <c r="O87" s="6" t="s">
        <v>37</v>
      </c>
    </row>
    <row r="88" spans="1:15" ht="54.75" customHeight="1">
      <c r="A88" s="19" t="s">
        <v>32</v>
      </c>
      <c r="B88" s="30" t="s">
        <v>68</v>
      </c>
      <c r="C88" s="18">
        <f>SUM(D88:E88)</f>
        <v>2412000000</v>
      </c>
      <c r="D88" s="18">
        <v>2412000000</v>
      </c>
      <c r="E88" s="18"/>
      <c r="F88" s="18">
        <f>SUM(G88:H88)</f>
        <v>2178433000</v>
      </c>
      <c r="G88" s="18">
        <v>2178433000</v>
      </c>
      <c r="H88" s="18"/>
      <c r="I88" s="18"/>
      <c r="J88" s="18"/>
      <c r="K88" s="18"/>
      <c r="L88" s="18">
        <f>SUM(M88:N88)</f>
        <v>233567000</v>
      </c>
      <c r="M88" s="18">
        <f>D88-G88+J88</f>
        <v>233567000</v>
      </c>
      <c r="N88" s="18">
        <f>E88-H88+K88</f>
        <v>0</v>
      </c>
      <c r="O88" s="6" t="s">
        <v>37</v>
      </c>
    </row>
    <row r="89" spans="1:15" ht="101.25" customHeight="1">
      <c r="A89" s="8">
        <v>3</v>
      </c>
      <c r="B89" s="33" t="s">
        <v>45</v>
      </c>
      <c r="C89" s="20">
        <f>C90+C91</f>
        <v>1076852230</v>
      </c>
      <c r="D89" s="20">
        <f t="shared" ref="D89:N89" si="52">D90+D91</f>
        <v>1021852230</v>
      </c>
      <c r="E89" s="20">
        <f t="shared" si="52"/>
        <v>55000000</v>
      </c>
      <c r="F89" s="20">
        <f t="shared" si="52"/>
        <v>708258100</v>
      </c>
      <c r="G89" s="20">
        <f t="shared" si="52"/>
        <v>702935400</v>
      </c>
      <c r="H89" s="20">
        <f t="shared" si="52"/>
        <v>5322700</v>
      </c>
      <c r="I89" s="20">
        <f t="shared" si="52"/>
        <v>0</v>
      </c>
      <c r="J89" s="20">
        <f t="shared" si="52"/>
        <v>0</v>
      </c>
      <c r="K89" s="20">
        <f t="shared" si="52"/>
        <v>0</v>
      </c>
      <c r="L89" s="20">
        <f t="shared" si="52"/>
        <v>368594130</v>
      </c>
      <c r="M89" s="20">
        <f t="shared" si="52"/>
        <v>318916830</v>
      </c>
      <c r="N89" s="20">
        <f t="shared" si="52"/>
        <v>49677300</v>
      </c>
      <c r="O89" s="18"/>
    </row>
    <row r="90" spans="1:15" ht="181.5" customHeight="1">
      <c r="A90" s="5" t="s">
        <v>32</v>
      </c>
      <c r="B90" s="6" t="s">
        <v>66</v>
      </c>
      <c r="C90" s="18">
        <f>D90+E90</f>
        <v>754000000</v>
      </c>
      <c r="D90" s="18">
        <v>713000000</v>
      </c>
      <c r="E90" s="18">
        <v>41000000</v>
      </c>
      <c r="F90" s="18">
        <f>G90+H90</f>
        <v>435746270</v>
      </c>
      <c r="G90" s="18">
        <v>435143170</v>
      </c>
      <c r="H90" s="18">
        <v>603100</v>
      </c>
      <c r="I90" s="18"/>
      <c r="J90" s="18"/>
      <c r="K90" s="18"/>
      <c r="L90" s="18">
        <f>SUM(M90:N90)</f>
        <v>318253730</v>
      </c>
      <c r="M90" s="18">
        <f>D90-G90+J90</f>
        <v>277856830</v>
      </c>
      <c r="N90" s="18">
        <f>E90-H90+K90</f>
        <v>40396900</v>
      </c>
      <c r="O90" s="289" t="s">
        <v>901</v>
      </c>
    </row>
    <row r="91" spans="1:15" ht="52.5" customHeight="1">
      <c r="A91" s="5" t="s">
        <v>32</v>
      </c>
      <c r="B91" s="6" t="s">
        <v>46</v>
      </c>
      <c r="C91" s="18">
        <f>D91+E91</f>
        <v>322852230</v>
      </c>
      <c r="D91" s="18">
        <f>251000000+57852230</f>
        <v>308852230</v>
      </c>
      <c r="E91" s="18">
        <v>14000000</v>
      </c>
      <c r="F91" s="18">
        <f>G91+H91</f>
        <v>272511830</v>
      </c>
      <c r="G91" s="18">
        <v>267792230</v>
      </c>
      <c r="H91" s="18">
        <v>4719600</v>
      </c>
      <c r="I91" s="18"/>
      <c r="J91" s="18"/>
      <c r="K91" s="18"/>
      <c r="L91" s="18">
        <f>SUM(M91:N91)</f>
        <v>50340400</v>
      </c>
      <c r="M91" s="18">
        <f>D91-G91+J91</f>
        <v>41060000</v>
      </c>
      <c r="N91" s="18">
        <f>E91-H91+K91</f>
        <v>9280400</v>
      </c>
      <c r="O91" s="18" t="s">
        <v>34</v>
      </c>
    </row>
    <row r="92" spans="1:15" s="2" customFormat="1" ht="101.25" customHeight="1">
      <c r="A92" s="8">
        <v>4</v>
      </c>
      <c r="B92" s="9" t="s">
        <v>38</v>
      </c>
      <c r="C92" s="20">
        <f>C93</f>
        <v>3180383915</v>
      </c>
      <c r="D92" s="20">
        <f t="shared" ref="D92:N92" si="53">D93</f>
        <v>3022000000</v>
      </c>
      <c r="E92" s="20">
        <f t="shared" si="53"/>
        <v>158383915</v>
      </c>
      <c r="F92" s="20">
        <f t="shared" si="53"/>
        <v>0</v>
      </c>
      <c r="G92" s="20">
        <f t="shared" si="53"/>
        <v>0</v>
      </c>
      <c r="H92" s="20">
        <f t="shared" si="53"/>
        <v>0</v>
      </c>
      <c r="I92" s="20">
        <f t="shared" si="53"/>
        <v>5006556600</v>
      </c>
      <c r="J92" s="20">
        <f t="shared" si="53"/>
        <v>4954785900</v>
      </c>
      <c r="K92" s="20">
        <f t="shared" si="53"/>
        <v>51770700</v>
      </c>
      <c r="L92" s="20">
        <f t="shared" si="53"/>
        <v>8186940515</v>
      </c>
      <c r="M92" s="20">
        <f t="shared" si="53"/>
        <v>7976785900</v>
      </c>
      <c r="N92" s="20">
        <f t="shared" si="53"/>
        <v>210154615</v>
      </c>
      <c r="O92" s="10"/>
    </row>
    <row r="93" spans="1:15" ht="69" customHeight="1">
      <c r="A93" s="19" t="s">
        <v>32</v>
      </c>
      <c r="B93" s="6" t="s">
        <v>39</v>
      </c>
      <c r="C93" s="18">
        <f>SUM(D93:E93)</f>
        <v>3180383915</v>
      </c>
      <c r="D93" s="18">
        <v>3022000000</v>
      </c>
      <c r="E93" s="18">
        <v>158383915</v>
      </c>
      <c r="F93" s="18"/>
      <c r="G93" s="18"/>
      <c r="H93" s="18"/>
      <c r="I93" s="18">
        <f>SUM(J93:K93)</f>
        <v>5006556600</v>
      </c>
      <c r="J93" s="18">
        <v>4954785900</v>
      </c>
      <c r="K93" s="18">
        <v>51770700</v>
      </c>
      <c r="L93" s="18">
        <f>SUM(M93:N93)</f>
        <v>8186940515</v>
      </c>
      <c r="M93" s="18">
        <f>D93-G93+J93</f>
        <v>7976785900</v>
      </c>
      <c r="N93" s="18">
        <f>E93-H93+K93</f>
        <v>210154615</v>
      </c>
      <c r="O93" s="7" t="s">
        <v>34</v>
      </c>
    </row>
    <row r="94" spans="1:15" s="2" customFormat="1" ht="31.5" customHeight="1">
      <c r="A94" s="23" t="s">
        <v>75</v>
      </c>
      <c r="B94" s="24" t="s">
        <v>76</v>
      </c>
      <c r="C94" s="25">
        <f>C95</f>
        <v>31137010000</v>
      </c>
      <c r="D94" s="25">
        <f t="shared" ref="D94:N94" si="54">D95</f>
        <v>29910994000</v>
      </c>
      <c r="E94" s="25">
        <f t="shared" si="54"/>
        <v>1226016000</v>
      </c>
      <c r="F94" s="25">
        <f t="shared" si="54"/>
        <v>17340010000</v>
      </c>
      <c r="G94" s="25">
        <f t="shared" si="54"/>
        <v>17227994000</v>
      </c>
      <c r="H94" s="25">
        <f t="shared" si="54"/>
        <v>112016000</v>
      </c>
      <c r="I94" s="25">
        <f t="shared" si="54"/>
        <v>17340010000</v>
      </c>
      <c r="J94" s="25">
        <f t="shared" si="54"/>
        <v>17227994000</v>
      </c>
      <c r="K94" s="25">
        <f t="shared" si="54"/>
        <v>112016000</v>
      </c>
      <c r="L94" s="25">
        <f t="shared" si="54"/>
        <v>31137010000</v>
      </c>
      <c r="M94" s="25">
        <f t="shared" si="54"/>
        <v>29910994000</v>
      </c>
      <c r="N94" s="25">
        <f t="shared" si="54"/>
        <v>1226016000</v>
      </c>
      <c r="O94" s="26"/>
    </row>
    <row r="95" spans="1:15" ht="31.5">
      <c r="A95" s="74" t="s">
        <v>28</v>
      </c>
      <c r="B95" s="75" t="s">
        <v>43</v>
      </c>
      <c r="C95" s="73">
        <f>C96+C98+C101+C104+C106+C110+C112+C114</f>
        <v>31137010000</v>
      </c>
      <c r="D95" s="73">
        <f t="shared" ref="D95:N95" si="55">D96+D98+D101+D104+D106+D110+D112+D114</f>
        <v>29910994000</v>
      </c>
      <c r="E95" s="73">
        <f t="shared" si="55"/>
        <v>1226016000</v>
      </c>
      <c r="F95" s="73">
        <f t="shared" si="55"/>
        <v>17340010000</v>
      </c>
      <c r="G95" s="73">
        <f t="shared" si="55"/>
        <v>17227994000</v>
      </c>
      <c r="H95" s="73">
        <f t="shared" si="55"/>
        <v>112016000</v>
      </c>
      <c r="I95" s="73">
        <f t="shared" si="55"/>
        <v>17340010000</v>
      </c>
      <c r="J95" s="73">
        <f t="shared" si="55"/>
        <v>17227994000</v>
      </c>
      <c r="K95" s="73">
        <f t="shared" si="55"/>
        <v>112016000</v>
      </c>
      <c r="L95" s="73">
        <f t="shared" si="55"/>
        <v>31137010000</v>
      </c>
      <c r="M95" s="73">
        <f t="shared" si="55"/>
        <v>29910994000</v>
      </c>
      <c r="N95" s="73">
        <f t="shared" si="55"/>
        <v>1226016000</v>
      </c>
      <c r="O95" s="76"/>
    </row>
    <row r="96" spans="1:15" s="2" customFormat="1" ht="78.75">
      <c r="A96" s="49">
        <v>1</v>
      </c>
      <c r="B96" s="33" t="s">
        <v>61</v>
      </c>
      <c r="C96" s="34">
        <f>C97</f>
        <v>11072579593</v>
      </c>
      <c r="D96" s="34">
        <f t="shared" ref="D96:N96" si="56">D97</f>
        <v>11072579593</v>
      </c>
      <c r="E96" s="34">
        <f t="shared" si="56"/>
        <v>0</v>
      </c>
      <c r="F96" s="34">
        <f t="shared" si="56"/>
        <v>11072579593</v>
      </c>
      <c r="G96" s="34">
        <f t="shared" si="56"/>
        <v>11072579593</v>
      </c>
      <c r="H96" s="34">
        <f t="shared" si="56"/>
        <v>0</v>
      </c>
      <c r="I96" s="34">
        <f t="shared" si="56"/>
        <v>0</v>
      </c>
      <c r="J96" s="34">
        <f t="shared" si="56"/>
        <v>0</v>
      </c>
      <c r="K96" s="34">
        <f t="shared" si="56"/>
        <v>0</v>
      </c>
      <c r="L96" s="34">
        <f t="shared" si="56"/>
        <v>0</v>
      </c>
      <c r="M96" s="34">
        <f t="shared" si="56"/>
        <v>0</v>
      </c>
      <c r="N96" s="34">
        <f t="shared" si="56"/>
        <v>0</v>
      </c>
      <c r="O96" s="33"/>
    </row>
    <row r="97" spans="1:15" ht="47.25">
      <c r="A97" s="50" t="s">
        <v>32</v>
      </c>
      <c r="B97" s="30" t="s">
        <v>62</v>
      </c>
      <c r="C97" s="32">
        <f>SUM(D97:E97)</f>
        <v>11072579593</v>
      </c>
      <c r="D97" s="32">
        <f>17128915593-6056336000</f>
        <v>11072579593</v>
      </c>
      <c r="E97" s="32">
        <v>0</v>
      </c>
      <c r="F97" s="32">
        <f>SUM(G97:H97)</f>
        <v>11072579593</v>
      </c>
      <c r="G97" s="32">
        <f>+D97</f>
        <v>11072579593</v>
      </c>
      <c r="H97" s="32">
        <v>0</v>
      </c>
      <c r="I97" s="32">
        <f>SUM(J97:K97)</f>
        <v>0</v>
      </c>
      <c r="J97" s="32"/>
      <c r="K97" s="32"/>
      <c r="L97" s="32">
        <f>SUM(M97:N97)</f>
        <v>0</v>
      </c>
      <c r="M97" s="32">
        <f>D97-G97+J97</f>
        <v>0</v>
      </c>
      <c r="N97" s="32">
        <f>E97-H97+K97</f>
        <v>0</v>
      </c>
      <c r="O97" s="30" t="s">
        <v>34</v>
      </c>
    </row>
    <row r="98" spans="1:15" s="2" customFormat="1" ht="47.25">
      <c r="A98" s="49">
        <v>2</v>
      </c>
      <c r="B98" s="33" t="s">
        <v>64</v>
      </c>
      <c r="C98" s="34">
        <f>SUM(C99:C100)</f>
        <v>4348367517</v>
      </c>
      <c r="D98" s="34">
        <f t="shared" ref="D98:N98" si="57">SUM(D99:D100)</f>
        <v>4239881517</v>
      </c>
      <c r="E98" s="34">
        <f t="shared" si="57"/>
        <v>108486000</v>
      </c>
      <c r="F98" s="34">
        <f t="shared" si="57"/>
        <v>4348367517</v>
      </c>
      <c r="G98" s="34">
        <f t="shared" si="57"/>
        <v>4239881517</v>
      </c>
      <c r="H98" s="34">
        <f t="shared" si="57"/>
        <v>108486000</v>
      </c>
      <c r="I98" s="34">
        <f t="shared" si="57"/>
        <v>0</v>
      </c>
      <c r="J98" s="34">
        <f t="shared" si="57"/>
        <v>0</v>
      </c>
      <c r="K98" s="34">
        <f t="shared" si="57"/>
        <v>0</v>
      </c>
      <c r="L98" s="34">
        <f t="shared" si="57"/>
        <v>0</v>
      </c>
      <c r="M98" s="34">
        <f t="shared" si="57"/>
        <v>0</v>
      </c>
      <c r="N98" s="34">
        <f t="shared" si="57"/>
        <v>0</v>
      </c>
      <c r="O98" s="33"/>
    </row>
    <row r="99" spans="1:15" ht="63">
      <c r="A99" s="50" t="s">
        <v>32</v>
      </c>
      <c r="B99" s="30" t="s">
        <v>69</v>
      </c>
      <c r="C99" s="32">
        <f>SUM(D99:E99)</f>
        <v>2447975220</v>
      </c>
      <c r="D99" s="32">
        <f>1484885220+854604000</f>
        <v>2339489220</v>
      </c>
      <c r="E99" s="32">
        <v>108486000</v>
      </c>
      <c r="F99" s="32">
        <f>SUM(G99:H99)</f>
        <v>2447975220</v>
      </c>
      <c r="G99" s="32">
        <f>+D99</f>
        <v>2339489220</v>
      </c>
      <c r="H99" s="32">
        <f>+E99</f>
        <v>108486000</v>
      </c>
      <c r="I99" s="32"/>
      <c r="J99" s="32"/>
      <c r="K99" s="32"/>
      <c r="L99" s="32">
        <f>SUM(M99:N99)</f>
        <v>0</v>
      </c>
      <c r="M99" s="32">
        <f>D99-G99+J99</f>
        <v>0</v>
      </c>
      <c r="N99" s="32">
        <f>E99-H99+K99</f>
        <v>0</v>
      </c>
      <c r="O99" s="30" t="s">
        <v>37</v>
      </c>
    </row>
    <row r="100" spans="1:15" ht="47.25">
      <c r="A100" s="50" t="s">
        <v>32</v>
      </c>
      <c r="B100" s="30" t="s">
        <v>68</v>
      </c>
      <c r="C100" s="32">
        <f>SUM(D100:E100)</f>
        <v>1900392297</v>
      </c>
      <c r="D100" s="32">
        <v>1900392297</v>
      </c>
      <c r="E100" s="32">
        <v>0</v>
      </c>
      <c r="F100" s="32">
        <f>SUM(G100:H100)</f>
        <v>1900392297</v>
      </c>
      <c r="G100" s="32">
        <f>+D100</f>
        <v>1900392297</v>
      </c>
      <c r="H100" s="32">
        <v>0</v>
      </c>
      <c r="I100" s="32"/>
      <c r="J100" s="32"/>
      <c r="K100" s="32"/>
      <c r="L100" s="32">
        <f>SUM(M100:N100)</f>
        <v>0</v>
      </c>
      <c r="M100" s="32">
        <f>D100-G100+J100</f>
        <v>0</v>
      </c>
      <c r="N100" s="32">
        <f>E100-H100+K100</f>
        <v>0</v>
      </c>
      <c r="O100" s="30" t="s">
        <v>37</v>
      </c>
    </row>
    <row r="101" spans="1:15" s="2" customFormat="1" ht="47.25">
      <c r="A101" s="49">
        <v>3</v>
      </c>
      <c r="B101" s="33" t="s">
        <v>47</v>
      </c>
      <c r="C101" s="34">
        <f>SUM(C102:C103)</f>
        <v>1373887490</v>
      </c>
      <c r="D101" s="34">
        <f t="shared" ref="D101:N101" si="58">SUM(D102:D103)</f>
        <v>1370487490</v>
      </c>
      <c r="E101" s="34">
        <f t="shared" si="58"/>
        <v>3400000</v>
      </c>
      <c r="F101" s="34">
        <f t="shared" si="58"/>
        <v>1373887490</v>
      </c>
      <c r="G101" s="34">
        <f t="shared" si="58"/>
        <v>1370487490</v>
      </c>
      <c r="H101" s="34">
        <f t="shared" si="58"/>
        <v>3400000</v>
      </c>
      <c r="I101" s="34">
        <f t="shared" si="58"/>
        <v>0</v>
      </c>
      <c r="J101" s="34">
        <f t="shared" si="58"/>
        <v>0</v>
      </c>
      <c r="K101" s="34">
        <f t="shared" si="58"/>
        <v>0</v>
      </c>
      <c r="L101" s="34">
        <f t="shared" si="58"/>
        <v>0</v>
      </c>
      <c r="M101" s="34">
        <f t="shared" si="58"/>
        <v>0</v>
      </c>
      <c r="N101" s="34">
        <f t="shared" si="58"/>
        <v>0</v>
      </c>
      <c r="O101" s="33"/>
    </row>
    <row r="102" spans="1:15">
      <c r="A102" s="50" t="s">
        <v>32</v>
      </c>
      <c r="B102" s="30" t="s">
        <v>34</v>
      </c>
      <c r="C102" s="32">
        <f>SUM(D102:E102)</f>
        <v>1000621640</v>
      </c>
      <c r="D102" s="32">
        <f>929000000+68221640</f>
        <v>997221640</v>
      </c>
      <c r="E102" s="32">
        <v>3400000</v>
      </c>
      <c r="F102" s="32">
        <f>SUM(G102:H102)</f>
        <v>1000621640</v>
      </c>
      <c r="G102" s="32">
        <f>+D102</f>
        <v>997221640</v>
      </c>
      <c r="H102" s="32">
        <f>+E102</f>
        <v>3400000</v>
      </c>
      <c r="I102" s="32">
        <f>SUM(J102:K102)</f>
        <v>0</v>
      </c>
      <c r="J102" s="51"/>
      <c r="K102" s="51"/>
      <c r="L102" s="32">
        <f>SUM(M102:N102)</f>
        <v>0</v>
      </c>
      <c r="M102" s="32">
        <f>D102-G102+J102</f>
        <v>0</v>
      </c>
      <c r="N102" s="32">
        <f>E102-H102+K102</f>
        <v>0</v>
      </c>
      <c r="O102" s="30" t="s">
        <v>34</v>
      </c>
    </row>
    <row r="103" spans="1:15" ht="31.5">
      <c r="A103" s="50" t="s">
        <v>32</v>
      </c>
      <c r="B103" s="30" t="s">
        <v>67</v>
      </c>
      <c r="C103" s="32">
        <f>SUM(D103:E103)</f>
        <v>373265850</v>
      </c>
      <c r="D103" s="32">
        <v>373265850</v>
      </c>
      <c r="E103" s="32"/>
      <c r="F103" s="32">
        <f>SUM(G103:H103)</f>
        <v>373265850</v>
      </c>
      <c r="G103" s="32">
        <f>+D103</f>
        <v>373265850</v>
      </c>
      <c r="H103" s="32"/>
      <c r="I103" s="32">
        <f>SUM(J103:K103)</f>
        <v>0</v>
      </c>
      <c r="J103" s="51"/>
      <c r="K103" s="51"/>
      <c r="L103" s="32">
        <f>SUM(M103:N103)</f>
        <v>0</v>
      </c>
      <c r="M103" s="32">
        <f>D103-G103+J103</f>
        <v>0</v>
      </c>
      <c r="N103" s="32">
        <f>E103-H103+K103</f>
        <v>0</v>
      </c>
      <c r="O103" s="30" t="s">
        <v>42</v>
      </c>
    </row>
    <row r="104" spans="1:15" s="2" customFormat="1" ht="47.25">
      <c r="A104" s="49">
        <v>4</v>
      </c>
      <c r="B104" s="33" t="s">
        <v>53</v>
      </c>
      <c r="C104" s="34">
        <f>C105</f>
        <v>129000000</v>
      </c>
      <c r="D104" s="34">
        <f t="shared" ref="D104:N104" si="59">D105</f>
        <v>129000000</v>
      </c>
      <c r="E104" s="34">
        <f t="shared" si="59"/>
        <v>0</v>
      </c>
      <c r="F104" s="34">
        <f t="shared" si="59"/>
        <v>129000000</v>
      </c>
      <c r="G104" s="34">
        <f t="shared" si="59"/>
        <v>129000000</v>
      </c>
      <c r="H104" s="34">
        <f t="shared" si="59"/>
        <v>0</v>
      </c>
      <c r="I104" s="34">
        <f t="shared" si="59"/>
        <v>0</v>
      </c>
      <c r="J104" s="34">
        <f t="shared" si="59"/>
        <v>0</v>
      </c>
      <c r="K104" s="34">
        <f t="shared" si="59"/>
        <v>0</v>
      </c>
      <c r="L104" s="34">
        <f t="shared" si="59"/>
        <v>0</v>
      </c>
      <c r="M104" s="34">
        <f t="shared" si="59"/>
        <v>0</v>
      </c>
      <c r="N104" s="34">
        <f t="shared" si="59"/>
        <v>0</v>
      </c>
      <c r="O104" s="33"/>
    </row>
    <row r="105" spans="1:15" ht="63">
      <c r="A105" s="50" t="s">
        <v>32</v>
      </c>
      <c r="B105" s="30" t="s">
        <v>54</v>
      </c>
      <c r="C105" s="32">
        <f>SUM(D105:E105)</f>
        <v>129000000</v>
      </c>
      <c r="D105" s="32">
        <f>129000000</f>
        <v>129000000</v>
      </c>
      <c r="E105" s="32"/>
      <c r="F105" s="32">
        <f>SUM(G105:H105)</f>
        <v>129000000</v>
      </c>
      <c r="G105" s="32">
        <f>+D105</f>
        <v>129000000</v>
      </c>
      <c r="H105" s="32">
        <f>+E105</f>
        <v>0</v>
      </c>
      <c r="I105" s="32">
        <f>SUM(J105:K105)</f>
        <v>0</v>
      </c>
      <c r="J105" s="32"/>
      <c r="K105" s="32"/>
      <c r="L105" s="32">
        <f>SUM(M105:N105)</f>
        <v>0</v>
      </c>
      <c r="M105" s="32">
        <f>D105-G105+J105</f>
        <v>0</v>
      </c>
      <c r="N105" s="32">
        <f>E105-H105+K105</f>
        <v>0</v>
      </c>
      <c r="O105" s="30" t="s">
        <v>42</v>
      </c>
    </row>
    <row r="106" spans="1:15" s="2" customFormat="1" ht="78.75">
      <c r="A106" s="49">
        <v>5</v>
      </c>
      <c r="B106" s="33" t="s">
        <v>65</v>
      </c>
      <c r="C106" s="34">
        <f>SUM(C107:C109)</f>
        <v>416175400</v>
      </c>
      <c r="D106" s="34">
        <f t="shared" ref="D106:N106" si="60">SUM(D107:D109)</f>
        <v>416045400</v>
      </c>
      <c r="E106" s="34">
        <f t="shared" si="60"/>
        <v>130000</v>
      </c>
      <c r="F106" s="34">
        <f t="shared" si="60"/>
        <v>416175400</v>
      </c>
      <c r="G106" s="34">
        <f t="shared" si="60"/>
        <v>416045400</v>
      </c>
      <c r="H106" s="34">
        <f t="shared" si="60"/>
        <v>130000</v>
      </c>
      <c r="I106" s="34">
        <f t="shared" si="60"/>
        <v>0</v>
      </c>
      <c r="J106" s="34">
        <f t="shared" si="60"/>
        <v>0</v>
      </c>
      <c r="K106" s="34">
        <f t="shared" si="60"/>
        <v>0</v>
      </c>
      <c r="L106" s="34">
        <f t="shared" si="60"/>
        <v>0</v>
      </c>
      <c r="M106" s="34">
        <f t="shared" si="60"/>
        <v>0</v>
      </c>
      <c r="N106" s="34">
        <f t="shared" si="60"/>
        <v>0</v>
      </c>
      <c r="O106" s="33"/>
    </row>
    <row r="107" spans="1:15" ht="157.5">
      <c r="A107" s="50" t="s">
        <v>32</v>
      </c>
      <c r="B107" s="30" t="s">
        <v>66</v>
      </c>
      <c r="C107" s="32">
        <f>SUM(D107:E107)</f>
        <v>137675400</v>
      </c>
      <c r="D107" s="32">
        <v>137675400</v>
      </c>
      <c r="E107" s="32"/>
      <c r="F107" s="32">
        <f>SUM(G107:H107)</f>
        <v>137675400</v>
      </c>
      <c r="G107" s="32">
        <f>+D107</f>
        <v>137675400</v>
      </c>
      <c r="H107" s="32">
        <f>+E107</f>
        <v>0</v>
      </c>
      <c r="I107" s="32"/>
      <c r="J107" s="32"/>
      <c r="K107" s="32"/>
      <c r="L107" s="32">
        <f>SUM(M107:N107)</f>
        <v>0</v>
      </c>
      <c r="M107" s="32">
        <f t="shared" ref="M107:N109" si="61">D107-G107+J107</f>
        <v>0</v>
      </c>
      <c r="N107" s="32">
        <f t="shared" si="61"/>
        <v>0</v>
      </c>
      <c r="O107" s="30" t="s">
        <v>41</v>
      </c>
    </row>
    <row r="108" spans="1:15" ht="63">
      <c r="A108" s="50" t="s">
        <v>32</v>
      </c>
      <c r="B108" s="71" t="s">
        <v>104</v>
      </c>
      <c r="C108" s="32">
        <f>SUM(D108:E108)</f>
        <v>189000000</v>
      </c>
      <c r="D108" s="32">
        <f>51000000+138000000</f>
        <v>189000000</v>
      </c>
      <c r="E108" s="32"/>
      <c r="F108" s="32">
        <f>SUM(G108:H108)</f>
        <v>189000000</v>
      </c>
      <c r="G108" s="32">
        <f>+D108</f>
        <v>189000000</v>
      </c>
      <c r="H108" s="32"/>
      <c r="I108" s="32"/>
      <c r="J108" s="32"/>
      <c r="K108" s="32"/>
      <c r="L108" s="32">
        <f>SUM(M108:N108)</f>
        <v>0</v>
      </c>
      <c r="M108" s="32">
        <f t="shared" si="61"/>
        <v>0</v>
      </c>
      <c r="N108" s="32">
        <f t="shared" si="61"/>
        <v>0</v>
      </c>
      <c r="O108" s="30" t="s">
        <v>41</v>
      </c>
    </row>
    <row r="109" spans="1:15" ht="47.25">
      <c r="A109" s="50" t="s">
        <v>32</v>
      </c>
      <c r="B109" s="30" t="s">
        <v>46</v>
      </c>
      <c r="C109" s="32">
        <f>SUM(D109:E109)</f>
        <v>89500000</v>
      </c>
      <c r="D109" s="32">
        <f>87000000+2370000</f>
        <v>89370000</v>
      </c>
      <c r="E109" s="32">
        <v>130000</v>
      </c>
      <c r="F109" s="32">
        <f>SUM(G109:H109)</f>
        <v>89500000</v>
      </c>
      <c r="G109" s="32">
        <f>+D109</f>
        <v>89370000</v>
      </c>
      <c r="H109" s="32">
        <f>+E109</f>
        <v>130000</v>
      </c>
      <c r="I109" s="32"/>
      <c r="J109" s="51"/>
      <c r="K109" s="51"/>
      <c r="L109" s="32">
        <f>SUM(M109:N109)</f>
        <v>0</v>
      </c>
      <c r="M109" s="32">
        <f t="shared" si="61"/>
        <v>0</v>
      </c>
      <c r="N109" s="32">
        <f t="shared" si="61"/>
        <v>0</v>
      </c>
      <c r="O109" s="30" t="s">
        <v>34</v>
      </c>
    </row>
    <row r="110" spans="1:15" s="2" customFormat="1" ht="78.75">
      <c r="A110" s="49">
        <v>6</v>
      </c>
      <c r="B110" s="72" t="s">
        <v>51</v>
      </c>
      <c r="C110" s="34">
        <f>C111</f>
        <v>9252000000</v>
      </c>
      <c r="D110" s="34">
        <f t="shared" ref="D110:N110" si="62">D111</f>
        <v>8355000000</v>
      </c>
      <c r="E110" s="34">
        <f t="shared" si="62"/>
        <v>897000000</v>
      </c>
      <c r="F110" s="34">
        <f t="shared" si="62"/>
        <v>0</v>
      </c>
      <c r="G110" s="34">
        <f t="shared" si="62"/>
        <v>0</v>
      </c>
      <c r="H110" s="34">
        <f t="shared" si="62"/>
        <v>0</v>
      </c>
      <c r="I110" s="34">
        <f t="shared" si="62"/>
        <v>8850010000</v>
      </c>
      <c r="J110" s="34">
        <f t="shared" si="62"/>
        <v>8737994000</v>
      </c>
      <c r="K110" s="34">
        <f t="shared" si="62"/>
        <v>112016000</v>
      </c>
      <c r="L110" s="34">
        <f t="shared" si="62"/>
        <v>18102010000</v>
      </c>
      <c r="M110" s="34">
        <f t="shared" si="62"/>
        <v>17092994000</v>
      </c>
      <c r="N110" s="34">
        <f t="shared" si="62"/>
        <v>1009016000</v>
      </c>
      <c r="O110" s="33"/>
    </row>
    <row r="111" spans="1:15" ht="94.5">
      <c r="A111" s="50" t="s">
        <v>32</v>
      </c>
      <c r="B111" s="71" t="s">
        <v>52</v>
      </c>
      <c r="C111" s="32">
        <f>SUM(D111:E111)</f>
        <v>9252000000</v>
      </c>
      <c r="D111" s="32">
        <v>8355000000</v>
      </c>
      <c r="E111" s="32">
        <v>897000000</v>
      </c>
      <c r="F111" s="32"/>
      <c r="G111" s="32"/>
      <c r="H111" s="32"/>
      <c r="I111" s="32">
        <f>SUM(J111:K111)</f>
        <v>8850010000</v>
      </c>
      <c r="J111" s="51">
        <f>3250010000-112016000+5600000000</f>
        <v>8737994000</v>
      </c>
      <c r="K111" s="51">
        <v>112016000</v>
      </c>
      <c r="L111" s="32">
        <f>SUM(M111:N111)</f>
        <v>18102010000</v>
      </c>
      <c r="M111" s="32">
        <f>+D111-G111+J111</f>
        <v>17092994000</v>
      </c>
      <c r="N111" s="32">
        <f>+E111-H111+K111</f>
        <v>1009016000</v>
      </c>
      <c r="O111" s="30" t="s">
        <v>34</v>
      </c>
    </row>
    <row r="112" spans="1:15" s="2" customFormat="1" ht="63">
      <c r="A112" s="49">
        <v>7</v>
      </c>
      <c r="B112" s="33" t="s">
        <v>63</v>
      </c>
      <c r="C112" s="34">
        <f>C113</f>
        <v>4003000000</v>
      </c>
      <c r="D112" s="34">
        <f t="shared" ref="D112:N112" si="63">D113</f>
        <v>3812000000</v>
      </c>
      <c r="E112" s="34">
        <f t="shared" si="63"/>
        <v>191000000</v>
      </c>
      <c r="F112" s="34">
        <f t="shared" si="63"/>
        <v>0</v>
      </c>
      <c r="G112" s="34">
        <f t="shared" si="63"/>
        <v>0</v>
      </c>
      <c r="H112" s="34">
        <f t="shared" si="63"/>
        <v>0</v>
      </c>
      <c r="I112" s="34">
        <f t="shared" si="63"/>
        <v>5550000000</v>
      </c>
      <c r="J112" s="34">
        <f t="shared" si="63"/>
        <v>5550000000</v>
      </c>
      <c r="K112" s="34">
        <f t="shared" si="63"/>
        <v>0</v>
      </c>
      <c r="L112" s="34">
        <f t="shared" si="63"/>
        <v>9553000000</v>
      </c>
      <c r="M112" s="34">
        <f t="shared" si="63"/>
        <v>9362000000</v>
      </c>
      <c r="N112" s="34">
        <f t="shared" si="63"/>
        <v>191000000</v>
      </c>
      <c r="O112" s="33"/>
    </row>
    <row r="113" spans="1:15" ht="63">
      <c r="A113" s="50" t="s">
        <v>32</v>
      </c>
      <c r="B113" s="30" t="s">
        <v>39</v>
      </c>
      <c r="C113" s="32">
        <f>SUM(D113:E113)</f>
        <v>4003000000</v>
      </c>
      <c r="D113" s="32">
        <v>3812000000</v>
      </c>
      <c r="E113" s="32">
        <v>191000000</v>
      </c>
      <c r="F113" s="32">
        <f>SUM(G113:H113)</f>
        <v>0</v>
      </c>
      <c r="G113" s="32"/>
      <c r="H113" s="32"/>
      <c r="I113" s="32">
        <f>SUM(J113:K113)</f>
        <v>5550000000</v>
      </c>
      <c r="J113" s="32">
        <v>5550000000</v>
      </c>
      <c r="K113" s="32"/>
      <c r="L113" s="32">
        <f>SUM(M113:N113)</f>
        <v>9553000000</v>
      </c>
      <c r="M113" s="32">
        <f>D113-G113+J113</f>
        <v>9362000000</v>
      </c>
      <c r="N113" s="32">
        <f>E113-H113+K113</f>
        <v>191000000</v>
      </c>
      <c r="O113" s="30" t="s">
        <v>34</v>
      </c>
    </row>
    <row r="114" spans="1:15" s="2" customFormat="1" ht="63">
      <c r="A114" s="49">
        <v>8</v>
      </c>
      <c r="B114" s="33" t="s">
        <v>44</v>
      </c>
      <c r="C114" s="34">
        <f>SUM(D114:E114)</f>
        <v>542000000</v>
      </c>
      <c r="D114" s="34">
        <v>516000000</v>
      </c>
      <c r="E114" s="34">
        <v>26000000</v>
      </c>
      <c r="F114" s="34">
        <f>SUM(G114:H114)</f>
        <v>0</v>
      </c>
      <c r="G114" s="34"/>
      <c r="H114" s="34"/>
      <c r="I114" s="34">
        <f>SUM(J114:K114)</f>
        <v>2940000000</v>
      </c>
      <c r="J114" s="34">
        <f>98*30000000</f>
        <v>2940000000</v>
      </c>
      <c r="K114" s="34">
        <v>0</v>
      </c>
      <c r="L114" s="34">
        <f>SUM(M114:N114)</f>
        <v>3482000000</v>
      </c>
      <c r="M114" s="34">
        <f>D114-G114+J114</f>
        <v>3456000000</v>
      </c>
      <c r="N114" s="34">
        <f>E114-H114+K114</f>
        <v>26000000</v>
      </c>
      <c r="O114" s="30" t="s">
        <v>41</v>
      </c>
    </row>
    <row r="115" spans="1:15" s="2" customFormat="1" ht="31.5" customHeight="1">
      <c r="A115" s="23" t="s">
        <v>345</v>
      </c>
      <c r="B115" s="24" t="s">
        <v>346</v>
      </c>
      <c r="C115" s="25">
        <f t="shared" ref="C115:N115" si="64">C116+C141</f>
        <v>73041195764</v>
      </c>
      <c r="D115" s="25">
        <f t="shared" si="64"/>
        <v>71526112524</v>
      </c>
      <c r="E115" s="25">
        <f t="shared" si="64"/>
        <v>1515083240</v>
      </c>
      <c r="F115" s="25">
        <f t="shared" si="64"/>
        <v>28936399996</v>
      </c>
      <c r="G115" s="25">
        <f t="shared" si="64"/>
        <v>28857999996</v>
      </c>
      <c r="H115" s="25">
        <f t="shared" si="64"/>
        <v>78400000</v>
      </c>
      <c r="I115" s="25">
        <f t="shared" si="64"/>
        <v>28936399996</v>
      </c>
      <c r="J115" s="25">
        <f t="shared" si="64"/>
        <v>28857999996</v>
      </c>
      <c r="K115" s="25">
        <f t="shared" si="64"/>
        <v>78400000</v>
      </c>
      <c r="L115" s="25">
        <f t="shared" si="64"/>
        <v>73041195764</v>
      </c>
      <c r="M115" s="25">
        <f t="shared" si="64"/>
        <v>71526112524</v>
      </c>
      <c r="N115" s="25">
        <f t="shared" si="64"/>
        <v>1515083240</v>
      </c>
      <c r="O115" s="26"/>
    </row>
    <row r="116" spans="1:15" s="2" customFormat="1" ht="31.5">
      <c r="A116" s="168" t="s">
        <v>28</v>
      </c>
      <c r="B116" s="15" t="s">
        <v>43</v>
      </c>
      <c r="C116" s="21">
        <f t="shared" ref="C116:N116" si="65">C117+C120+C122+C125+C128+C130+C132+C134+C136+C138+C139</f>
        <v>33397404764</v>
      </c>
      <c r="D116" s="21">
        <f t="shared" si="65"/>
        <v>33153453524</v>
      </c>
      <c r="E116" s="21">
        <f t="shared" si="65"/>
        <v>243951240</v>
      </c>
      <c r="F116" s="21">
        <f t="shared" si="65"/>
        <v>25047198333</v>
      </c>
      <c r="G116" s="21">
        <f t="shared" si="65"/>
        <v>24986698333</v>
      </c>
      <c r="H116" s="21">
        <f t="shared" si="65"/>
        <v>60500000</v>
      </c>
      <c r="I116" s="21">
        <f t="shared" si="65"/>
        <v>25047198333</v>
      </c>
      <c r="J116" s="21">
        <f t="shared" si="65"/>
        <v>24986698333</v>
      </c>
      <c r="K116" s="21">
        <f t="shared" si="65"/>
        <v>60500000</v>
      </c>
      <c r="L116" s="21">
        <f t="shared" si="65"/>
        <v>33397404764</v>
      </c>
      <c r="M116" s="21">
        <f t="shared" si="65"/>
        <v>33153453524</v>
      </c>
      <c r="N116" s="21">
        <f t="shared" si="65"/>
        <v>243951240</v>
      </c>
      <c r="O116" s="227"/>
    </row>
    <row r="117" spans="1:15" s="2" customFormat="1" ht="47.25">
      <c r="A117" s="164">
        <v>1</v>
      </c>
      <c r="B117" s="9" t="s">
        <v>58</v>
      </c>
      <c r="C117" s="20">
        <f>SUM(C118:C119)</f>
        <v>3234857326</v>
      </c>
      <c r="D117" s="20">
        <f t="shared" ref="D117:N117" si="66">SUM(D118:D119)</f>
        <v>3178357326</v>
      </c>
      <c r="E117" s="20">
        <f t="shared" si="66"/>
        <v>56500000</v>
      </c>
      <c r="F117" s="20">
        <f t="shared" si="66"/>
        <v>1550123855</v>
      </c>
      <c r="G117" s="20">
        <f t="shared" si="66"/>
        <v>1519623855</v>
      </c>
      <c r="H117" s="20">
        <f t="shared" si="66"/>
        <v>30500000</v>
      </c>
      <c r="I117" s="20">
        <f t="shared" si="66"/>
        <v>0</v>
      </c>
      <c r="J117" s="20">
        <f t="shared" si="66"/>
        <v>0</v>
      </c>
      <c r="K117" s="20">
        <f t="shared" si="66"/>
        <v>0</v>
      </c>
      <c r="L117" s="20">
        <f t="shared" si="66"/>
        <v>1684733471</v>
      </c>
      <c r="M117" s="20">
        <f t="shared" si="66"/>
        <v>1658733471</v>
      </c>
      <c r="N117" s="20">
        <f t="shared" si="66"/>
        <v>26000000</v>
      </c>
      <c r="O117" s="9"/>
    </row>
    <row r="118" spans="1:15" s="86" customFormat="1" ht="31.5">
      <c r="A118" s="84" t="s">
        <v>213</v>
      </c>
      <c r="B118" s="22" t="s">
        <v>353</v>
      </c>
      <c r="C118" s="218">
        <f>D118+E118</f>
        <v>1128200000</v>
      </c>
      <c r="D118" s="218">
        <v>1128200000</v>
      </c>
      <c r="E118" s="218"/>
      <c r="F118" s="218">
        <f>G118+H118</f>
        <v>1128200000</v>
      </c>
      <c r="G118" s="218">
        <v>1128200000</v>
      </c>
      <c r="H118" s="218"/>
      <c r="I118" s="230"/>
      <c r="J118" s="230"/>
      <c r="K118" s="230"/>
      <c r="L118" s="230">
        <f t="shared" ref="L118:L153" si="67">SUM(M118:N118)</f>
        <v>0</v>
      </c>
      <c r="M118" s="230">
        <f t="shared" ref="M118:M153" si="68">D118-G118+J118</f>
        <v>0</v>
      </c>
      <c r="N118" s="230">
        <f t="shared" ref="N118:N153" si="69">E118-H118+K118</f>
        <v>0</v>
      </c>
      <c r="O118" s="22" t="s">
        <v>42</v>
      </c>
    </row>
    <row r="119" spans="1:15" s="86" customFormat="1" ht="31.5">
      <c r="A119" s="84" t="s">
        <v>213</v>
      </c>
      <c r="B119" s="22" t="s">
        <v>355</v>
      </c>
      <c r="C119" s="218">
        <f t="shared" ref="C119:C153" si="70">D119+E119</f>
        <v>2106657326</v>
      </c>
      <c r="D119" s="218">
        <f>1290000+2048867326</f>
        <v>2050157326</v>
      </c>
      <c r="E119" s="218">
        <v>56500000</v>
      </c>
      <c r="F119" s="218">
        <f t="shared" ref="F119:F153" si="71">G119+H119</f>
        <v>421923855</v>
      </c>
      <c r="G119" s="218">
        <f>1290000+390133855</f>
        <v>391423855</v>
      </c>
      <c r="H119" s="218">
        <v>30500000</v>
      </c>
      <c r="I119" s="230"/>
      <c r="J119" s="230"/>
      <c r="K119" s="230"/>
      <c r="L119" s="230">
        <f t="shared" si="67"/>
        <v>1684733471</v>
      </c>
      <c r="M119" s="230">
        <f t="shared" si="68"/>
        <v>1658733471</v>
      </c>
      <c r="N119" s="230">
        <f t="shared" si="69"/>
        <v>26000000</v>
      </c>
      <c r="O119" s="22" t="s">
        <v>34</v>
      </c>
    </row>
    <row r="120" spans="1:15" s="2" customFormat="1" ht="78.75">
      <c r="A120" s="164">
        <v>2</v>
      </c>
      <c r="B120" s="231" t="s">
        <v>51</v>
      </c>
      <c r="C120" s="20">
        <f>C121</f>
        <v>19973553405</v>
      </c>
      <c r="D120" s="20">
        <f t="shared" ref="D120:N120" si="72">D121</f>
        <v>19973553405</v>
      </c>
      <c r="E120" s="20">
        <f t="shared" si="72"/>
        <v>0</v>
      </c>
      <c r="F120" s="20">
        <f t="shared" si="72"/>
        <v>16496741834</v>
      </c>
      <c r="G120" s="20">
        <f t="shared" si="72"/>
        <v>16496741834</v>
      </c>
      <c r="H120" s="20">
        <f t="shared" si="72"/>
        <v>0</v>
      </c>
      <c r="I120" s="20">
        <f t="shared" si="72"/>
        <v>0</v>
      </c>
      <c r="J120" s="20">
        <f t="shared" si="72"/>
        <v>0</v>
      </c>
      <c r="K120" s="20">
        <f t="shared" si="72"/>
        <v>0</v>
      </c>
      <c r="L120" s="20">
        <f t="shared" si="72"/>
        <v>3476811571</v>
      </c>
      <c r="M120" s="20">
        <f t="shared" si="72"/>
        <v>3476811571</v>
      </c>
      <c r="N120" s="20">
        <f t="shared" si="72"/>
        <v>0</v>
      </c>
      <c r="O120" s="9"/>
    </row>
    <row r="121" spans="1:15" s="86" customFormat="1" ht="63">
      <c r="A121" s="84" t="s">
        <v>32</v>
      </c>
      <c r="B121" s="69" t="s">
        <v>357</v>
      </c>
      <c r="C121" s="218">
        <f>D121+E121</f>
        <v>19973553405</v>
      </c>
      <c r="D121" s="230">
        <v>19973553405</v>
      </c>
      <c r="E121" s="230"/>
      <c r="F121" s="218">
        <f t="shared" si="71"/>
        <v>16496741834</v>
      </c>
      <c r="G121" s="230">
        <f>15268124404+1228617430</f>
        <v>16496741834</v>
      </c>
      <c r="H121" s="230"/>
      <c r="I121" s="230"/>
      <c r="J121" s="230"/>
      <c r="K121" s="230"/>
      <c r="L121" s="230">
        <f t="shared" si="67"/>
        <v>3476811571</v>
      </c>
      <c r="M121" s="230">
        <f t="shared" si="68"/>
        <v>3476811571</v>
      </c>
      <c r="N121" s="230">
        <f t="shared" si="69"/>
        <v>0</v>
      </c>
      <c r="O121" s="22" t="s">
        <v>34</v>
      </c>
    </row>
    <row r="122" spans="1:15" s="2" customFormat="1" ht="47.25">
      <c r="A122" s="164">
        <v>3</v>
      </c>
      <c r="B122" s="165" t="s">
        <v>85</v>
      </c>
      <c r="C122" s="20">
        <f>SUM(C123:C124)</f>
        <v>6531951591</v>
      </c>
      <c r="D122" s="20">
        <f t="shared" ref="D122:N122" si="73">SUM(D123:D124)</f>
        <v>6531951591</v>
      </c>
      <c r="E122" s="20">
        <f t="shared" si="73"/>
        <v>0</v>
      </c>
      <c r="F122" s="20">
        <f t="shared" si="73"/>
        <v>5359833341</v>
      </c>
      <c r="G122" s="20">
        <f t="shared" si="73"/>
        <v>5359833341</v>
      </c>
      <c r="H122" s="20">
        <f t="shared" si="73"/>
        <v>0</v>
      </c>
      <c r="I122" s="20">
        <f t="shared" si="73"/>
        <v>0</v>
      </c>
      <c r="J122" s="20">
        <f t="shared" si="73"/>
        <v>0</v>
      </c>
      <c r="K122" s="20">
        <f t="shared" si="73"/>
        <v>0</v>
      </c>
      <c r="L122" s="20">
        <f t="shared" si="73"/>
        <v>1172118250</v>
      </c>
      <c r="M122" s="20">
        <f t="shared" si="73"/>
        <v>1172118250</v>
      </c>
      <c r="N122" s="20">
        <f t="shared" si="73"/>
        <v>0</v>
      </c>
      <c r="O122" s="9"/>
    </row>
    <row r="123" spans="1:15" s="86" customFormat="1" ht="63">
      <c r="A123" s="84" t="s">
        <v>32</v>
      </c>
      <c r="B123" s="45" t="s">
        <v>36</v>
      </c>
      <c r="C123" s="218">
        <f t="shared" si="70"/>
        <v>4113501391</v>
      </c>
      <c r="D123" s="230">
        <v>4113501391</v>
      </c>
      <c r="E123" s="230"/>
      <c r="F123" s="218">
        <f t="shared" si="71"/>
        <v>3128887141</v>
      </c>
      <c r="G123" s="230">
        <v>3128887141</v>
      </c>
      <c r="H123" s="230"/>
      <c r="I123" s="230"/>
      <c r="J123" s="230"/>
      <c r="K123" s="230"/>
      <c r="L123" s="230">
        <f t="shared" si="67"/>
        <v>984614250</v>
      </c>
      <c r="M123" s="230">
        <f t="shared" si="68"/>
        <v>984614250</v>
      </c>
      <c r="N123" s="230">
        <f t="shared" si="69"/>
        <v>0</v>
      </c>
      <c r="O123" s="22"/>
    </row>
    <row r="124" spans="1:15" s="86" customFormat="1" ht="31.5">
      <c r="A124" s="84" t="s">
        <v>32</v>
      </c>
      <c r="B124" s="431" t="s">
        <v>359</v>
      </c>
      <c r="C124" s="218">
        <f t="shared" si="70"/>
        <v>2418450200</v>
      </c>
      <c r="D124" s="39">
        <v>2418450200</v>
      </c>
      <c r="E124" s="39"/>
      <c r="F124" s="218">
        <f t="shared" si="71"/>
        <v>2230946200</v>
      </c>
      <c r="G124" s="39">
        <v>2230946200</v>
      </c>
      <c r="H124" s="39"/>
      <c r="I124" s="39"/>
      <c r="J124" s="39"/>
      <c r="K124" s="39"/>
      <c r="L124" s="230">
        <f t="shared" si="67"/>
        <v>187504000</v>
      </c>
      <c r="M124" s="230">
        <f t="shared" si="68"/>
        <v>187504000</v>
      </c>
      <c r="N124" s="230">
        <f t="shared" si="69"/>
        <v>0</v>
      </c>
      <c r="O124" s="30" t="s">
        <v>37</v>
      </c>
    </row>
    <row r="125" spans="1:15" s="2" customFormat="1" ht="47.25">
      <c r="A125" s="164">
        <v>4</v>
      </c>
      <c r="B125" s="228" t="s">
        <v>47</v>
      </c>
      <c r="C125" s="20">
        <f>SUM(C126:C127)</f>
        <v>1875257206</v>
      </c>
      <c r="D125" s="20">
        <f t="shared" ref="D125:N125" si="74">SUM(D126:D127)</f>
        <v>1845257206</v>
      </c>
      <c r="E125" s="20">
        <f t="shared" si="74"/>
        <v>30000000</v>
      </c>
      <c r="F125" s="20">
        <f t="shared" si="74"/>
        <v>1375720250</v>
      </c>
      <c r="G125" s="20">
        <f t="shared" si="74"/>
        <v>1345720250</v>
      </c>
      <c r="H125" s="20">
        <f t="shared" si="74"/>
        <v>30000000</v>
      </c>
      <c r="I125" s="20">
        <f t="shared" si="74"/>
        <v>0</v>
      </c>
      <c r="J125" s="20">
        <f t="shared" si="74"/>
        <v>0</v>
      </c>
      <c r="K125" s="20">
        <f t="shared" si="74"/>
        <v>0</v>
      </c>
      <c r="L125" s="20">
        <f t="shared" si="74"/>
        <v>499536956</v>
      </c>
      <c r="M125" s="20">
        <f t="shared" si="74"/>
        <v>499536956</v>
      </c>
      <c r="N125" s="20">
        <f t="shared" si="74"/>
        <v>0</v>
      </c>
      <c r="O125" s="9"/>
    </row>
    <row r="126" spans="1:15" s="86" customFormat="1" ht="31.5">
      <c r="A126" s="84" t="s">
        <v>213</v>
      </c>
      <c r="B126" s="427" t="s">
        <v>347</v>
      </c>
      <c r="C126" s="218">
        <f t="shared" si="70"/>
        <v>1241257206</v>
      </c>
      <c r="D126" s="218">
        <v>1241257206</v>
      </c>
      <c r="E126" s="218"/>
      <c r="F126" s="218">
        <f t="shared" si="71"/>
        <v>741720250</v>
      </c>
      <c r="G126" s="218">
        <f>75720250+666000000</f>
        <v>741720250</v>
      </c>
      <c r="H126" s="218"/>
      <c r="I126" s="230"/>
      <c r="J126" s="230"/>
      <c r="K126" s="230"/>
      <c r="L126" s="230">
        <f t="shared" si="67"/>
        <v>499536956</v>
      </c>
      <c r="M126" s="230">
        <f t="shared" si="68"/>
        <v>499536956</v>
      </c>
      <c r="N126" s="230">
        <f t="shared" si="69"/>
        <v>0</v>
      </c>
      <c r="O126" s="22" t="s">
        <v>42</v>
      </c>
    </row>
    <row r="127" spans="1:15" s="86" customFormat="1" ht="21" customHeight="1">
      <c r="A127" s="84" t="s">
        <v>213</v>
      </c>
      <c r="B127" s="427" t="s">
        <v>34</v>
      </c>
      <c r="C127" s="218">
        <f t="shared" si="70"/>
        <v>634000000</v>
      </c>
      <c r="D127" s="218">
        <v>604000000</v>
      </c>
      <c r="E127" s="218">
        <v>30000000</v>
      </c>
      <c r="F127" s="218">
        <f t="shared" si="71"/>
        <v>634000000</v>
      </c>
      <c r="G127" s="218">
        <v>604000000</v>
      </c>
      <c r="H127" s="218">
        <v>30000000</v>
      </c>
      <c r="I127" s="230"/>
      <c r="J127" s="230"/>
      <c r="K127" s="230"/>
      <c r="L127" s="230">
        <f t="shared" si="67"/>
        <v>0</v>
      </c>
      <c r="M127" s="230">
        <f t="shared" si="68"/>
        <v>0</v>
      </c>
      <c r="N127" s="230">
        <f t="shared" si="69"/>
        <v>0</v>
      </c>
      <c r="O127" s="22" t="s">
        <v>34</v>
      </c>
    </row>
    <row r="128" spans="1:15" s="2" customFormat="1" ht="72" customHeight="1">
      <c r="A128" s="164">
        <v>5</v>
      </c>
      <c r="B128" s="428" t="s">
        <v>53</v>
      </c>
      <c r="C128" s="20">
        <f>C129</f>
        <v>120779053</v>
      </c>
      <c r="D128" s="20">
        <f t="shared" ref="D128:N128" si="75">D129</f>
        <v>120779053</v>
      </c>
      <c r="E128" s="20">
        <f t="shared" si="75"/>
        <v>0</v>
      </c>
      <c r="F128" s="20">
        <f t="shared" si="75"/>
        <v>120779053</v>
      </c>
      <c r="G128" s="20">
        <f t="shared" si="75"/>
        <v>120779053</v>
      </c>
      <c r="H128" s="20">
        <f t="shared" si="75"/>
        <v>0</v>
      </c>
      <c r="I128" s="20">
        <f t="shared" si="75"/>
        <v>0</v>
      </c>
      <c r="J128" s="20">
        <f t="shared" si="75"/>
        <v>0</v>
      </c>
      <c r="K128" s="20">
        <f t="shared" si="75"/>
        <v>0</v>
      </c>
      <c r="L128" s="20">
        <f t="shared" si="75"/>
        <v>0</v>
      </c>
      <c r="M128" s="20">
        <f t="shared" si="75"/>
        <v>0</v>
      </c>
      <c r="N128" s="20">
        <f t="shared" si="75"/>
        <v>0</v>
      </c>
      <c r="O128" s="9"/>
    </row>
    <row r="129" spans="1:15" s="86" customFormat="1" ht="63">
      <c r="A129" s="84" t="s">
        <v>32</v>
      </c>
      <c r="B129" s="427" t="s">
        <v>54</v>
      </c>
      <c r="C129" s="218">
        <f t="shared" si="70"/>
        <v>120779053</v>
      </c>
      <c r="D129" s="230">
        <f>G129</f>
        <v>120779053</v>
      </c>
      <c r="E129" s="236"/>
      <c r="F129" s="218">
        <f t="shared" si="71"/>
        <v>120779053</v>
      </c>
      <c r="G129" s="230">
        <v>120779053</v>
      </c>
      <c r="H129" s="236"/>
      <c r="I129" s="236"/>
      <c r="J129" s="236"/>
      <c r="K129" s="236"/>
      <c r="L129" s="230">
        <f t="shared" si="67"/>
        <v>0</v>
      </c>
      <c r="M129" s="230">
        <f t="shared" si="68"/>
        <v>0</v>
      </c>
      <c r="N129" s="230">
        <f t="shared" si="69"/>
        <v>0</v>
      </c>
      <c r="O129" s="22" t="s">
        <v>42</v>
      </c>
    </row>
    <row r="130" spans="1:15" s="2" customFormat="1" ht="78.75">
      <c r="A130" s="164">
        <v>6</v>
      </c>
      <c r="B130" s="428" t="s">
        <v>45</v>
      </c>
      <c r="C130" s="20">
        <f>C131</f>
        <v>144000000</v>
      </c>
      <c r="D130" s="20">
        <f t="shared" ref="D130:N130" si="76">D131</f>
        <v>144000000</v>
      </c>
      <c r="E130" s="20">
        <f t="shared" si="76"/>
        <v>0</v>
      </c>
      <c r="F130" s="20">
        <f t="shared" si="76"/>
        <v>144000000</v>
      </c>
      <c r="G130" s="20">
        <f t="shared" si="76"/>
        <v>144000000</v>
      </c>
      <c r="H130" s="20">
        <f t="shared" si="76"/>
        <v>0</v>
      </c>
      <c r="I130" s="20">
        <f t="shared" si="76"/>
        <v>0</v>
      </c>
      <c r="J130" s="20">
        <f t="shared" si="76"/>
        <v>0</v>
      </c>
      <c r="K130" s="20">
        <f t="shared" si="76"/>
        <v>0</v>
      </c>
      <c r="L130" s="20">
        <f t="shared" si="76"/>
        <v>0</v>
      </c>
      <c r="M130" s="20">
        <f t="shared" si="76"/>
        <v>0</v>
      </c>
      <c r="N130" s="20">
        <f t="shared" si="76"/>
        <v>0</v>
      </c>
      <c r="O130" s="9"/>
    </row>
    <row r="131" spans="1:15" s="86" customFormat="1" ht="63">
      <c r="A131" s="84" t="s">
        <v>32</v>
      </c>
      <c r="B131" s="427" t="s">
        <v>104</v>
      </c>
      <c r="C131" s="218">
        <f t="shared" si="70"/>
        <v>144000000</v>
      </c>
      <c r="D131" s="230">
        <f>G131</f>
        <v>144000000</v>
      </c>
      <c r="E131" s="230"/>
      <c r="F131" s="218">
        <f t="shared" si="71"/>
        <v>144000000</v>
      </c>
      <c r="G131" s="230">
        <v>144000000</v>
      </c>
      <c r="H131" s="230"/>
      <c r="I131" s="230"/>
      <c r="J131" s="230"/>
      <c r="K131" s="230"/>
      <c r="L131" s="230">
        <f t="shared" si="67"/>
        <v>0</v>
      </c>
      <c r="M131" s="230">
        <f t="shared" si="68"/>
        <v>0</v>
      </c>
      <c r="N131" s="230">
        <f t="shared" si="69"/>
        <v>0</v>
      </c>
      <c r="O131" s="30" t="s">
        <v>41</v>
      </c>
    </row>
    <row r="132" spans="1:15" s="2" customFormat="1" ht="78.75">
      <c r="A132" s="164">
        <v>7</v>
      </c>
      <c r="B132" s="426" t="s">
        <v>51</v>
      </c>
      <c r="C132" s="20">
        <f>C133</f>
        <v>1081144320</v>
      </c>
      <c r="D132" s="20">
        <f t="shared" ref="D132:N132" si="77">D133</f>
        <v>926313080</v>
      </c>
      <c r="E132" s="20">
        <f t="shared" si="77"/>
        <v>154831240</v>
      </c>
      <c r="F132" s="20">
        <f t="shared" si="77"/>
        <v>0</v>
      </c>
      <c r="G132" s="20">
        <f t="shared" si="77"/>
        <v>0</v>
      </c>
      <c r="H132" s="20">
        <f t="shared" si="77"/>
        <v>0</v>
      </c>
      <c r="I132" s="20">
        <f t="shared" si="77"/>
        <v>7648798337</v>
      </c>
      <c r="J132" s="20">
        <f t="shared" si="77"/>
        <v>7588298337</v>
      </c>
      <c r="K132" s="20">
        <f t="shared" si="77"/>
        <v>60500000</v>
      </c>
      <c r="L132" s="20">
        <f t="shared" si="77"/>
        <v>8729942657</v>
      </c>
      <c r="M132" s="20">
        <f t="shared" si="77"/>
        <v>8514611417</v>
      </c>
      <c r="N132" s="20">
        <f t="shared" si="77"/>
        <v>215331240</v>
      </c>
      <c r="O132" s="9"/>
    </row>
    <row r="133" spans="1:15" s="86" customFormat="1" ht="94.5">
      <c r="A133" s="84" t="s">
        <v>32</v>
      </c>
      <c r="B133" s="430" t="s">
        <v>52</v>
      </c>
      <c r="C133" s="218">
        <f t="shared" si="70"/>
        <v>1081144320</v>
      </c>
      <c r="D133" s="230">
        <f>704741080+221572000</f>
        <v>926313080</v>
      </c>
      <c r="E133" s="230">
        <f>126403240+28428000</f>
        <v>154831240</v>
      </c>
      <c r="F133" s="218">
        <f t="shared" si="71"/>
        <v>0</v>
      </c>
      <c r="G133" s="230"/>
      <c r="H133" s="230"/>
      <c r="I133" s="230">
        <f>SUM(J133:K133)</f>
        <v>7648798337</v>
      </c>
      <c r="J133" s="230">
        <v>7588298337</v>
      </c>
      <c r="K133" s="230">
        <v>60500000</v>
      </c>
      <c r="L133" s="230">
        <f t="shared" si="67"/>
        <v>8729942657</v>
      </c>
      <c r="M133" s="230">
        <f t="shared" si="68"/>
        <v>8514611417</v>
      </c>
      <c r="N133" s="230">
        <f t="shared" si="69"/>
        <v>215331240</v>
      </c>
      <c r="O133" s="22" t="s">
        <v>34</v>
      </c>
    </row>
    <row r="134" spans="1:15" s="235" customFormat="1" ht="94.5">
      <c r="A134" s="41">
        <v>8</v>
      </c>
      <c r="B134" s="432" t="s">
        <v>343</v>
      </c>
      <c r="C134" s="20">
        <f>C135</f>
        <v>109904319</v>
      </c>
      <c r="D134" s="20">
        <f t="shared" ref="D134:N134" si="78">D135</f>
        <v>109904319</v>
      </c>
      <c r="E134" s="20">
        <f t="shared" si="78"/>
        <v>0</v>
      </c>
      <c r="F134" s="20">
        <f t="shared" si="78"/>
        <v>0</v>
      </c>
      <c r="G134" s="20">
        <f t="shared" si="78"/>
        <v>0</v>
      </c>
      <c r="H134" s="20">
        <f t="shared" si="78"/>
        <v>0</v>
      </c>
      <c r="I134" s="20">
        <f t="shared" si="78"/>
        <v>15753256596</v>
      </c>
      <c r="J134" s="20">
        <f t="shared" si="78"/>
        <v>15753256596</v>
      </c>
      <c r="K134" s="20">
        <f t="shared" si="78"/>
        <v>0</v>
      </c>
      <c r="L134" s="20">
        <f t="shared" si="78"/>
        <v>15863160915</v>
      </c>
      <c r="M134" s="20">
        <f t="shared" si="78"/>
        <v>15863160915</v>
      </c>
      <c r="N134" s="20">
        <f t="shared" si="78"/>
        <v>0</v>
      </c>
      <c r="O134" s="33"/>
    </row>
    <row r="135" spans="1:15" s="86" customFormat="1" ht="63">
      <c r="A135" s="38" t="s">
        <v>32</v>
      </c>
      <c r="B135" s="237" t="s">
        <v>364</v>
      </c>
      <c r="C135" s="218">
        <f t="shared" si="70"/>
        <v>109904319</v>
      </c>
      <c r="D135" s="230">
        <f>1400004+40181542+68322773</f>
        <v>109904319</v>
      </c>
      <c r="E135" s="230"/>
      <c r="F135" s="218">
        <f t="shared" si="71"/>
        <v>0</v>
      </c>
      <c r="G135" s="230"/>
      <c r="H135" s="39"/>
      <c r="I135" s="230">
        <f t="shared" ref="I135:I153" si="79">SUM(J135:K135)</f>
        <v>15753256596</v>
      </c>
      <c r="J135" s="39">
        <f>15740000000-1400004+14656600</f>
        <v>15753256596</v>
      </c>
      <c r="K135" s="39"/>
      <c r="L135" s="230">
        <f t="shared" si="67"/>
        <v>15863160915</v>
      </c>
      <c r="M135" s="230">
        <f t="shared" si="68"/>
        <v>15863160915</v>
      </c>
      <c r="N135" s="230">
        <f t="shared" si="69"/>
        <v>0</v>
      </c>
      <c r="O135" s="22" t="s">
        <v>34</v>
      </c>
    </row>
    <row r="136" spans="1:15" s="2" customFormat="1" ht="47.25">
      <c r="A136" s="164">
        <v>9</v>
      </c>
      <c r="B136" s="432" t="s">
        <v>85</v>
      </c>
      <c r="C136" s="20">
        <f>C137</f>
        <v>311231304</v>
      </c>
      <c r="D136" s="20">
        <f t="shared" ref="D136:N136" si="80">D137</f>
        <v>309131304</v>
      </c>
      <c r="E136" s="20">
        <f t="shared" si="80"/>
        <v>2100000</v>
      </c>
      <c r="F136" s="20">
        <f t="shared" si="80"/>
        <v>0</v>
      </c>
      <c r="G136" s="20">
        <f t="shared" si="80"/>
        <v>0</v>
      </c>
      <c r="H136" s="20">
        <f t="shared" si="80"/>
        <v>0</v>
      </c>
      <c r="I136" s="20">
        <f t="shared" si="80"/>
        <v>802000000</v>
      </c>
      <c r="J136" s="20">
        <f t="shared" si="80"/>
        <v>802000000</v>
      </c>
      <c r="K136" s="20">
        <f t="shared" si="80"/>
        <v>0</v>
      </c>
      <c r="L136" s="20">
        <f t="shared" si="80"/>
        <v>1113231304</v>
      </c>
      <c r="M136" s="20">
        <f t="shared" si="80"/>
        <v>1111131304</v>
      </c>
      <c r="N136" s="20">
        <f t="shared" si="80"/>
        <v>2100000</v>
      </c>
      <c r="O136" s="9"/>
    </row>
    <row r="137" spans="1:15" s="86" customFormat="1" ht="110.25">
      <c r="A137" s="84" t="s">
        <v>32</v>
      </c>
      <c r="B137" s="237" t="s">
        <v>365</v>
      </c>
      <c r="C137" s="218">
        <f t="shared" si="70"/>
        <v>311231304</v>
      </c>
      <c r="D137" s="39">
        <v>309131304</v>
      </c>
      <c r="E137" s="39">
        <v>2100000</v>
      </c>
      <c r="F137" s="218">
        <f t="shared" si="71"/>
        <v>0</v>
      </c>
      <c r="G137" s="39"/>
      <c r="H137" s="39"/>
      <c r="I137" s="230">
        <f t="shared" si="79"/>
        <v>802000000</v>
      </c>
      <c r="J137" s="39">
        <f>816000000-14000000</f>
        <v>802000000</v>
      </c>
      <c r="K137" s="39"/>
      <c r="L137" s="230">
        <f t="shared" si="67"/>
        <v>1113231304</v>
      </c>
      <c r="M137" s="230">
        <f t="shared" si="68"/>
        <v>1111131304</v>
      </c>
      <c r="N137" s="230">
        <f t="shared" si="69"/>
        <v>2100000</v>
      </c>
      <c r="O137" s="30" t="s">
        <v>37</v>
      </c>
    </row>
    <row r="138" spans="1:15" s="2" customFormat="1" ht="63">
      <c r="A138" s="164">
        <v>10</v>
      </c>
      <c r="B138" s="432" t="s">
        <v>44</v>
      </c>
      <c r="C138" s="20">
        <f t="shared" si="70"/>
        <v>11039700</v>
      </c>
      <c r="D138" s="42">
        <v>10519700</v>
      </c>
      <c r="E138" s="42">
        <v>520000</v>
      </c>
      <c r="F138" s="20">
        <f t="shared" si="71"/>
        <v>0</v>
      </c>
      <c r="G138" s="42"/>
      <c r="H138" s="42"/>
      <c r="I138" s="229">
        <f t="shared" si="79"/>
        <v>414000000</v>
      </c>
      <c r="J138" s="42">
        <v>414000000</v>
      </c>
      <c r="K138" s="42"/>
      <c r="L138" s="229">
        <f t="shared" si="67"/>
        <v>425039700</v>
      </c>
      <c r="M138" s="229">
        <f t="shared" si="68"/>
        <v>424519700</v>
      </c>
      <c r="N138" s="229">
        <f t="shared" si="69"/>
        <v>520000</v>
      </c>
      <c r="O138" s="30" t="s">
        <v>41</v>
      </c>
    </row>
    <row r="139" spans="1:15" s="2" customFormat="1" ht="78.75">
      <c r="A139" s="164">
        <v>11</v>
      </c>
      <c r="B139" s="432" t="s">
        <v>45</v>
      </c>
      <c r="C139" s="20">
        <f>C140</f>
        <v>3686540</v>
      </c>
      <c r="D139" s="20">
        <f t="shared" ref="D139:N139" si="81">D140</f>
        <v>3686540</v>
      </c>
      <c r="E139" s="20">
        <f t="shared" si="81"/>
        <v>0</v>
      </c>
      <c r="F139" s="20">
        <f t="shared" si="81"/>
        <v>0</v>
      </c>
      <c r="G139" s="20">
        <f t="shared" si="81"/>
        <v>0</v>
      </c>
      <c r="H139" s="20">
        <f t="shared" si="81"/>
        <v>0</v>
      </c>
      <c r="I139" s="20">
        <f t="shared" si="81"/>
        <v>429143400</v>
      </c>
      <c r="J139" s="20">
        <f t="shared" si="81"/>
        <v>429143400</v>
      </c>
      <c r="K139" s="20">
        <f t="shared" si="81"/>
        <v>0</v>
      </c>
      <c r="L139" s="20">
        <f t="shared" si="81"/>
        <v>432829940</v>
      </c>
      <c r="M139" s="20">
        <f t="shared" si="81"/>
        <v>432829940</v>
      </c>
      <c r="N139" s="20">
        <f t="shared" si="81"/>
        <v>0</v>
      </c>
      <c r="O139" s="9"/>
    </row>
    <row r="140" spans="1:15" s="86" customFormat="1" ht="110.25">
      <c r="A140" s="84"/>
      <c r="B140" s="237" t="s">
        <v>360</v>
      </c>
      <c r="C140" s="218">
        <f t="shared" si="70"/>
        <v>3686540</v>
      </c>
      <c r="D140" s="230">
        <f>200000+2829940+656600</f>
        <v>3686540</v>
      </c>
      <c r="E140" s="230"/>
      <c r="F140" s="218">
        <f t="shared" si="71"/>
        <v>0</v>
      </c>
      <c r="G140" s="230"/>
      <c r="H140" s="39"/>
      <c r="I140" s="230">
        <f t="shared" si="79"/>
        <v>429143400</v>
      </c>
      <c r="J140" s="39">
        <f>430000000-656600-200000</f>
        <v>429143400</v>
      </c>
      <c r="K140" s="39"/>
      <c r="L140" s="230">
        <f t="shared" si="67"/>
        <v>432829940</v>
      </c>
      <c r="M140" s="230">
        <f t="shared" si="68"/>
        <v>432829940</v>
      </c>
      <c r="N140" s="230">
        <f t="shared" si="69"/>
        <v>0</v>
      </c>
      <c r="O140" s="30" t="s">
        <v>41</v>
      </c>
    </row>
    <row r="141" spans="1:15" s="2" customFormat="1" ht="24" customHeight="1">
      <c r="A141" s="168" t="s">
        <v>20</v>
      </c>
      <c r="B141" s="238" t="s">
        <v>21</v>
      </c>
      <c r="C141" s="21">
        <f>C142+C145+C147+C149+C152</f>
        <v>39643791000</v>
      </c>
      <c r="D141" s="21">
        <f t="shared" ref="D141:N141" si="82">D142+D145+D147+D149+D152</f>
        <v>38372659000</v>
      </c>
      <c r="E141" s="21">
        <f t="shared" si="82"/>
        <v>1271132000</v>
      </c>
      <c r="F141" s="21">
        <f t="shared" si="82"/>
        <v>3889201663</v>
      </c>
      <c r="G141" s="21">
        <f t="shared" si="82"/>
        <v>3871301663</v>
      </c>
      <c r="H141" s="21">
        <f t="shared" si="82"/>
        <v>17900000</v>
      </c>
      <c r="I141" s="21">
        <f t="shared" si="82"/>
        <v>3889201663</v>
      </c>
      <c r="J141" s="21">
        <f t="shared" si="82"/>
        <v>3871301663</v>
      </c>
      <c r="K141" s="21">
        <f t="shared" si="82"/>
        <v>17900000</v>
      </c>
      <c r="L141" s="21">
        <f t="shared" si="82"/>
        <v>39643791000</v>
      </c>
      <c r="M141" s="21">
        <f t="shared" si="82"/>
        <v>38372659000</v>
      </c>
      <c r="N141" s="21">
        <f t="shared" si="82"/>
        <v>1271132000</v>
      </c>
      <c r="O141" s="15"/>
    </row>
    <row r="142" spans="1:15" s="2" customFormat="1" ht="47.25">
      <c r="A142" s="8">
        <v>1</v>
      </c>
      <c r="B142" s="239" t="s">
        <v>58</v>
      </c>
      <c r="C142" s="20">
        <f>SUM(C143:C144)</f>
        <v>2019000000</v>
      </c>
      <c r="D142" s="20">
        <f t="shared" ref="D142:N142" si="83">SUM(D143:D144)</f>
        <v>1923000000</v>
      </c>
      <c r="E142" s="20">
        <f t="shared" si="83"/>
        <v>96000000</v>
      </c>
      <c r="F142" s="20">
        <f t="shared" si="83"/>
        <v>150000000</v>
      </c>
      <c r="G142" s="20">
        <f t="shared" si="83"/>
        <v>137100000</v>
      </c>
      <c r="H142" s="20">
        <f t="shared" si="83"/>
        <v>12900000</v>
      </c>
      <c r="I142" s="20">
        <f t="shared" si="83"/>
        <v>0</v>
      </c>
      <c r="J142" s="20">
        <f t="shared" si="83"/>
        <v>0</v>
      </c>
      <c r="K142" s="20">
        <f t="shared" si="83"/>
        <v>0</v>
      </c>
      <c r="L142" s="20">
        <f t="shared" si="83"/>
        <v>1869000000</v>
      </c>
      <c r="M142" s="20">
        <f t="shared" si="83"/>
        <v>1785900000</v>
      </c>
      <c r="N142" s="20">
        <f t="shared" si="83"/>
        <v>83100000</v>
      </c>
      <c r="O142" s="10"/>
    </row>
    <row r="143" spans="1:15" s="86" customFormat="1" ht="31.5">
      <c r="A143" s="63" t="s">
        <v>32</v>
      </c>
      <c r="B143" s="240" t="s">
        <v>353</v>
      </c>
      <c r="C143" s="218">
        <f>D143+E143</f>
        <v>401000000</v>
      </c>
      <c r="D143" s="218">
        <v>382000000</v>
      </c>
      <c r="E143" s="218">
        <v>19000000</v>
      </c>
      <c r="F143" s="218">
        <f t="shared" si="71"/>
        <v>90000000</v>
      </c>
      <c r="G143" s="218">
        <v>85600000</v>
      </c>
      <c r="H143" s="218">
        <v>4400000</v>
      </c>
      <c r="I143" s="230">
        <f t="shared" si="79"/>
        <v>0</v>
      </c>
      <c r="J143" s="218"/>
      <c r="K143" s="218"/>
      <c r="L143" s="230">
        <f t="shared" si="67"/>
        <v>311000000</v>
      </c>
      <c r="M143" s="230">
        <f t="shared" si="68"/>
        <v>296400000</v>
      </c>
      <c r="N143" s="230">
        <f t="shared" si="69"/>
        <v>14600000</v>
      </c>
      <c r="O143" s="22" t="s">
        <v>34</v>
      </c>
    </row>
    <row r="144" spans="1:15" s="86" customFormat="1" ht="31.5">
      <c r="A144" s="63" t="s">
        <v>32</v>
      </c>
      <c r="B144" s="240" t="s">
        <v>355</v>
      </c>
      <c r="C144" s="218">
        <f t="shared" si="70"/>
        <v>1618000000</v>
      </c>
      <c r="D144" s="218">
        <v>1541000000</v>
      </c>
      <c r="E144" s="218">
        <v>77000000</v>
      </c>
      <c r="F144" s="218">
        <f t="shared" si="71"/>
        <v>60000000</v>
      </c>
      <c r="G144" s="218">
        <v>51500000</v>
      </c>
      <c r="H144" s="218">
        <v>8500000</v>
      </c>
      <c r="I144" s="230">
        <f t="shared" si="79"/>
        <v>0</v>
      </c>
      <c r="J144" s="218"/>
      <c r="K144" s="218"/>
      <c r="L144" s="230">
        <f t="shared" si="67"/>
        <v>1558000000</v>
      </c>
      <c r="M144" s="230">
        <f t="shared" si="68"/>
        <v>1489500000</v>
      </c>
      <c r="N144" s="230">
        <f t="shared" si="69"/>
        <v>68500000</v>
      </c>
      <c r="O144" s="22" t="s">
        <v>34</v>
      </c>
    </row>
    <row r="145" spans="1:18" s="2" customFormat="1" ht="78.75">
      <c r="A145" s="8">
        <v>2</v>
      </c>
      <c r="B145" s="426" t="s">
        <v>51</v>
      </c>
      <c r="C145" s="20">
        <f>C146</f>
        <v>24396000000</v>
      </c>
      <c r="D145" s="20">
        <f t="shared" ref="D145:N145" si="84">D146</f>
        <v>24396000000</v>
      </c>
      <c r="E145" s="20">
        <f t="shared" si="84"/>
        <v>0</v>
      </c>
      <c r="F145" s="20">
        <f t="shared" si="84"/>
        <v>3569001663</v>
      </c>
      <c r="G145" s="20">
        <f t="shared" si="84"/>
        <v>3569001663</v>
      </c>
      <c r="H145" s="20">
        <f t="shared" si="84"/>
        <v>0</v>
      </c>
      <c r="I145" s="20">
        <f t="shared" si="84"/>
        <v>0</v>
      </c>
      <c r="J145" s="20">
        <f t="shared" si="84"/>
        <v>0</v>
      </c>
      <c r="K145" s="20">
        <f t="shared" si="84"/>
        <v>0</v>
      </c>
      <c r="L145" s="20">
        <f t="shared" si="84"/>
        <v>20826998337</v>
      </c>
      <c r="M145" s="20">
        <f t="shared" si="84"/>
        <v>20826998337</v>
      </c>
      <c r="N145" s="20">
        <f t="shared" si="84"/>
        <v>0</v>
      </c>
      <c r="O145" s="9"/>
    </row>
    <row r="146" spans="1:18" s="86" customFormat="1" ht="63">
      <c r="A146" s="63" t="s">
        <v>32</v>
      </c>
      <c r="B146" s="427" t="s">
        <v>357</v>
      </c>
      <c r="C146" s="218">
        <f t="shared" si="70"/>
        <v>24396000000</v>
      </c>
      <c r="D146" s="218">
        <v>24396000000</v>
      </c>
      <c r="E146" s="218"/>
      <c r="F146" s="218">
        <f t="shared" si="71"/>
        <v>3569001663</v>
      </c>
      <c r="G146" s="218">
        <f>3381497663+187504000</f>
        <v>3569001663</v>
      </c>
      <c r="H146" s="218"/>
      <c r="I146" s="230">
        <f t="shared" si="79"/>
        <v>0</v>
      </c>
      <c r="J146" s="218"/>
      <c r="K146" s="218"/>
      <c r="L146" s="230">
        <f t="shared" si="67"/>
        <v>20826998337</v>
      </c>
      <c r="M146" s="230">
        <f t="shared" si="68"/>
        <v>20826998337</v>
      </c>
      <c r="N146" s="230">
        <f t="shared" si="69"/>
        <v>0</v>
      </c>
      <c r="O146" s="22" t="s">
        <v>34</v>
      </c>
    </row>
    <row r="147" spans="1:18" s="2" customFormat="1" ht="47.25">
      <c r="A147" s="8">
        <v>3</v>
      </c>
      <c r="B147" s="428" t="s">
        <v>85</v>
      </c>
      <c r="C147" s="20">
        <f>C148</f>
        <v>1942000000</v>
      </c>
      <c r="D147" s="20">
        <f t="shared" ref="D147:N147" si="85">D148</f>
        <v>1942000000</v>
      </c>
      <c r="E147" s="20">
        <f t="shared" si="85"/>
        <v>0</v>
      </c>
      <c r="F147" s="20">
        <f t="shared" si="85"/>
        <v>200000</v>
      </c>
      <c r="G147" s="20">
        <f t="shared" si="85"/>
        <v>200000</v>
      </c>
      <c r="H147" s="20">
        <f t="shared" si="85"/>
        <v>0</v>
      </c>
      <c r="I147" s="20">
        <f t="shared" si="85"/>
        <v>0</v>
      </c>
      <c r="J147" s="20">
        <f t="shared" si="85"/>
        <v>0</v>
      </c>
      <c r="K147" s="20">
        <f t="shared" si="85"/>
        <v>0</v>
      </c>
      <c r="L147" s="20">
        <f t="shared" si="85"/>
        <v>1941800000</v>
      </c>
      <c r="M147" s="20">
        <f t="shared" si="85"/>
        <v>1941800000</v>
      </c>
      <c r="N147" s="20">
        <f t="shared" si="85"/>
        <v>0</v>
      </c>
      <c r="O147" s="9"/>
    </row>
    <row r="148" spans="1:18" s="86" customFormat="1" ht="47.25">
      <c r="A148" s="63" t="s">
        <v>32</v>
      </c>
      <c r="B148" s="429" t="s">
        <v>359</v>
      </c>
      <c r="C148" s="218">
        <f t="shared" si="70"/>
        <v>1942000000</v>
      </c>
      <c r="D148" s="218">
        <v>1942000000</v>
      </c>
      <c r="E148" s="218"/>
      <c r="F148" s="218">
        <f t="shared" si="71"/>
        <v>200000</v>
      </c>
      <c r="G148" s="218">
        <v>200000</v>
      </c>
      <c r="H148" s="218"/>
      <c r="I148" s="230">
        <f t="shared" si="79"/>
        <v>0</v>
      </c>
      <c r="J148" s="218"/>
      <c r="K148" s="218"/>
      <c r="L148" s="230">
        <f t="shared" si="67"/>
        <v>1941800000</v>
      </c>
      <c r="M148" s="230">
        <f t="shared" si="68"/>
        <v>1941800000</v>
      </c>
      <c r="N148" s="230">
        <f t="shared" si="69"/>
        <v>0</v>
      </c>
      <c r="O148" s="30" t="s">
        <v>37</v>
      </c>
    </row>
    <row r="149" spans="1:18" s="2" customFormat="1" ht="78.75">
      <c r="A149" s="8">
        <v>4</v>
      </c>
      <c r="B149" s="428" t="s">
        <v>45</v>
      </c>
      <c r="C149" s="20">
        <f>SUM(C150:C151)</f>
        <v>485000000</v>
      </c>
      <c r="D149" s="20">
        <f t="shared" ref="D149:N149" si="86">SUM(D150:D151)</f>
        <v>463000000</v>
      </c>
      <c r="E149" s="20">
        <f t="shared" si="86"/>
        <v>22000000</v>
      </c>
      <c r="F149" s="20">
        <f t="shared" si="86"/>
        <v>170000000</v>
      </c>
      <c r="G149" s="20">
        <f t="shared" si="86"/>
        <v>165000000</v>
      </c>
      <c r="H149" s="20">
        <f t="shared" si="86"/>
        <v>5000000</v>
      </c>
      <c r="I149" s="20">
        <f t="shared" si="86"/>
        <v>0</v>
      </c>
      <c r="J149" s="20">
        <f t="shared" si="86"/>
        <v>0</v>
      </c>
      <c r="K149" s="20">
        <f t="shared" si="86"/>
        <v>0</v>
      </c>
      <c r="L149" s="20">
        <f t="shared" si="86"/>
        <v>315000000</v>
      </c>
      <c r="M149" s="20">
        <f t="shared" si="86"/>
        <v>298000000</v>
      </c>
      <c r="N149" s="20">
        <f t="shared" si="86"/>
        <v>17000000</v>
      </c>
      <c r="O149" s="9"/>
    </row>
    <row r="150" spans="1:18" s="86" customFormat="1" ht="110.25">
      <c r="A150" s="63" t="s">
        <v>32</v>
      </c>
      <c r="B150" s="427" t="s">
        <v>360</v>
      </c>
      <c r="C150" s="218">
        <f t="shared" si="70"/>
        <v>415000000</v>
      </c>
      <c r="D150" s="218">
        <v>393000000</v>
      </c>
      <c r="E150" s="218">
        <v>22000000</v>
      </c>
      <c r="F150" s="218">
        <f t="shared" si="71"/>
        <v>100000000</v>
      </c>
      <c r="G150" s="218">
        <v>95000000</v>
      </c>
      <c r="H150" s="218">
        <v>5000000</v>
      </c>
      <c r="I150" s="230">
        <f t="shared" si="79"/>
        <v>0</v>
      </c>
      <c r="J150" s="218"/>
      <c r="K150" s="218"/>
      <c r="L150" s="230">
        <f t="shared" si="67"/>
        <v>315000000</v>
      </c>
      <c r="M150" s="230">
        <f t="shared" si="68"/>
        <v>298000000</v>
      </c>
      <c r="N150" s="230">
        <f t="shared" si="69"/>
        <v>17000000</v>
      </c>
      <c r="O150" s="30" t="s">
        <v>41</v>
      </c>
    </row>
    <row r="151" spans="1:18" s="86" customFormat="1" ht="63">
      <c r="A151" s="63" t="s">
        <v>32</v>
      </c>
      <c r="B151" s="427" t="s">
        <v>104</v>
      </c>
      <c r="C151" s="218">
        <f t="shared" si="70"/>
        <v>70000000</v>
      </c>
      <c r="D151" s="218">
        <f>G151</f>
        <v>70000000</v>
      </c>
      <c r="E151" s="218"/>
      <c r="F151" s="218">
        <f t="shared" si="71"/>
        <v>70000000</v>
      </c>
      <c r="G151" s="218">
        <v>70000000</v>
      </c>
      <c r="H151" s="218"/>
      <c r="I151" s="230">
        <f t="shared" si="79"/>
        <v>0</v>
      </c>
      <c r="J151" s="218"/>
      <c r="K151" s="218"/>
      <c r="L151" s="230">
        <f t="shared" si="67"/>
        <v>0</v>
      </c>
      <c r="M151" s="230">
        <f t="shared" si="68"/>
        <v>0</v>
      </c>
      <c r="N151" s="230">
        <f t="shared" si="69"/>
        <v>0</v>
      </c>
      <c r="O151" s="30" t="s">
        <v>41</v>
      </c>
    </row>
    <row r="152" spans="1:18" s="2" customFormat="1" ht="78.75">
      <c r="A152" s="8">
        <v>5</v>
      </c>
      <c r="B152" s="426" t="s">
        <v>51</v>
      </c>
      <c r="C152" s="20">
        <f>C153</f>
        <v>10801791000</v>
      </c>
      <c r="D152" s="20">
        <f t="shared" ref="D152:N152" si="87">D153</f>
        <v>9648659000</v>
      </c>
      <c r="E152" s="20">
        <f t="shared" si="87"/>
        <v>1153132000</v>
      </c>
      <c r="F152" s="20">
        <f t="shared" si="87"/>
        <v>0</v>
      </c>
      <c r="G152" s="20">
        <f t="shared" si="87"/>
        <v>0</v>
      </c>
      <c r="H152" s="20">
        <f t="shared" si="87"/>
        <v>0</v>
      </c>
      <c r="I152" s="20">
        <f t="shared" si="87"/>
        <v>3889201663</v>
      </c>
      <c r="J152" s="20">
        <f t="shared" si="87"/>
        <v>3871301663</v>
      </c>
      <c r="K152" s="20">
        <f t="shared" si="87"/>
        <v>17900000</v>
      </c>
      <c r="L152" s="20">
        <f t="shared" si="87"/>
        <v>14690992663</v>
      </c>
      <c r="M152" s="20">
        <f t="shared" si="87"/>
        <v>13519960663</v>
      </c>
      <c r="N152" s="20">
        <f t="shared" si="87"/>
        <v>1171032000</v>
      </c>
      <c r="O152" s="9"/>
    </row>
    <row r="153" spans="1:18" s="86" customFormat="1" ht="94.5">
      <c r="A153" s="63" t="s">
        <v>32</v>
      </c>
      <c r="B153" s="430" t="s">
        <v>52</v>
      </c>
      <c r="C153" s="218">
        <f t="shared" si="70"/>
        <v>10801791000</v>
      </c>
      <c r="D153" s="218">
        <f>7951000000+1697659000</f>
        <v>9648659000</v>
      </c>
      <c r="E153" s="218">
        <f>869000000+284132000</f>
        <v>1153132000</v>
      </c>
      <c r="F153" s="218">
        <f t="shared" si="71"/>
        <v>0</v>
      </c>
      <c r="G153" s="218"/>
      <c r="H153" s="218"/>
      <c r="I153" s="230">
        <f t="shared" si="79"/>
        <v>3889201663</v>
      </c>
      <c r="J153" s="218">
        <v>3871301663</v>
      </c>
      <c r="K153" s="218">
        <v>17900000</v>
      </c>
      <c r="L153" s="230">
        <f t="shared" si="67"/>
        <v>14690992663</v>
      </c>
      <c r="M153" s="230">
        <f t="shared" si="68"/>
        <v>13519960663</v>
      </c>
      <c r="N153" s="230">
        <f t="shared" si="69"/>
        <v>1171032000</v>
      </c>
      <c r="O153" s="22" t="s">
        <v>34</v>
      </c>
    </row>
    <row r="154" spans="1:18" s="2" customFormat="1" ht="30" customHeight="1">
      <c r="A154" s="23" t="s">
        <v>818</v>
      </c>
      <c r="B154" s="24" t="s">
        <v>340</v>
      </c>
      <c r="C154" s="25">
        <f>C155+C163</f>
        <v>53621873594</v>
      </c>
      <c r="D154" s="25">
        <f t="shared" ref="D154:N154" si="88">D155+D163</f>
        <v>51623873594</v>
      </c>
      <c r="E154" s="25">
        <f t="shared" si="88"/>
        <v>1998000000</v>
      </c>
      <c r="F154" s="25">
        <f t="shared" si="88"/>
        <v>17238921230</v>
      </c>
      <c r="G154" s="25">
        <f t="shared" si="88"/>
        <v>17238921230</v>
      </c>
      <c r="H154" s="25">
        <f t="shared" si="88"/>
        <v>0</v>
      </c>
      <c r="I154" s="25">
        <f t="shared" si="88"/>
        <v>17238921230</v>
      </c>
      <c r="J154" s="25">
        <f t="shared" si="88"/>
        <v>17238921230</v>
      </c>
      <c r="K154" s="25">
        <f t="shared" si="88"/>
        <v>0</v>
      </c>
      <c r="L154" s="25">
        <f t="shared" si="88"/>
        <v>53621873594</v>
      </c>
      <c r="M154" s="25">
        <f t="shared" si="88"/>
        <v>51623873594</v>
      </c>
      <c r="N154" s="25">
        <f t="shared" si="88"/>
        <v>1998000000</v>
      </c>
      <c r="O154" s="26"/>
    </row>
    <row r="155" spans="1:18" s="2" customFormat="1" ht="36.75" customHeight="1">
      <c r="A155" s="245" t="s">
        <v>28</v>
      </c>
      <c r="B155" s="373" t="s">
        <v>821</v>
      </c>
      <c r="C155" s="247">
        <f>C156+C158+C160+C161</f>
        <v>21469873594</v>
      </c>
      <c r="D155" s="247">
        <f t="shared" ref="D155:N155" si="89">D156+D158+D160+D161</f>
        <v>21469873594</v>
      </c>
      <c r="E155" s="247">
        <f t="shared" si="89"/>
        <v>0</v>
      </c>
      <c r="F155" s="247">
        <f t="shared" si="89"/>
        <v>16869187630</v>
      </c>
      <c r="G155" s="247">
        <f t="shared" si="89"/>
        <v>16869187630</v>
      </c>
      <c r="H155" s="247">
        <f t="shared" si="89"/>
        <v>0</v>
      </c>
      <c r="I155" s="247">
        <f t="shared" si="89"/>
        <v>16869187630</v>
      </c>
      <c r="J155" s="247">
        <f t="shared" si="89"/>
        <v>16869187630</v>
      </c>
      <c r="K155" s="247">
        <f t="shared" si="89"/>
        <v>0</v>
      </c>
      <c r="L155" s="247">
        <f t="shared" si="89"/>
        <v>21469873594</v>
      </c>
      <c r="M155" s="247">
        <f t="shared" si="89"/>
        <v>21469873594</v>
      </c>
      <c r="N155" s="247">
        <f t="shared" si="89"/>
        <v>0</v>
      </c>
      <c r="O155" s="374">
        <f t="shared" ref="O155" si="90">SUM(O156:O161)</f>
        <v>0</v>
      </c>
      <c r="P155" s="88"/>
      <c r="Q155" s="88"/>
      <c r="R155" s="88"/>
    </row>
    <row r="156" spans="1:18" s="2" customFormat="1" ht="78.75">
      <c r="A156" s="8">
        <v>1</v>
      </c>
      <c r="B156" s="228" t="s">
        <v>51</v>
      </c>
      <c r="C156" s="20">
        <f>C157</f>
        <v>21310384224</v>
      </c>
      <c r="D156" s="20">
        <f t="shared" ref="D156:N156" si="91">D157</f>
        <v>21310384224</v>
      </c>
      <c r="E156" s="20">
        <f t="shared" si="91"/>
        <v>0</v>
      </c>
      <c r="F156" s="20">
        <f t="shared" si="91"/>
        <v>16722187630</v>
      </c>
      <c r="G156" s="20">
        <f t="shared" si="91"/>
        <v>16722187630</v>
      </c>
      <c r="H156" s="20">
        <f t="shared" si="91"/>
        <v>0</v>
      </c>
      <c r="I156" s="20">
        <f t="shared" si="91"/>
        <v>0</v>
      </c>
      <c r="J156" s="20">
        <f t="shared" si="91"/>
        <v>0</v>
      </c>
      <c r="K156" s="20">
        <f t="shared" si="91"/>
        <v>0</v>
      </c>
      <c r="L156" s="20">
        <f t="shared" si="91"/>
        <v>4588196594</v>
      </c>
      <c r="M156" s="20">
        <f t="shared" si="91"/>
        <v>4588196594</v>
      </c>
      <c r="N156" s="20">
        <f t="shared" si="91"/>
        <v>0</v>
      </c>
      <c r="O156" s="22" t="s">
        <v>34</v>
      </c>
      <c r="P156" s="35"/>
      <c r="Q156" s="35"/>
      <c r="R156" s="35"/>
    </row>
    <row r="157" spans="1:18" s="2" customFormat="1" ht="63">
      <c r="A157" s="63"/>
      <c r="B157" s="45" t="s">
        <v>33</v>
      </c>
      <c r="C157" s="218">
        <f>SUM(D157:E157)</f>
        <v>21310384224</v>
      </c>
      <c r="D157" s="218">
        <v>21310384224</v>
      </c>
      <c r="E157" s="218"/>
      <c r="F157" s="218">
        <f>SUM(G157:H157)</f>
        <v>16722187630</v>
      </c>
      <c r="G157" s="218">
        <f>16734644000-12456370</f>
        <v>16722187630</v>
      </c>
      <c r="H157" s="218"/>
      <c r="I157" s="218"/>
      <c r="J157" s="218"/>
      <c r="K157" s="218"/>
      <c r="L157" s="218">
        <f>SUM(M157:N157)</f>
        <v>4588196594</v>
      </c>
      <c r="M157" s="218">
        <f>D157-G157+J157</f>
        <v>4588196594</v>
      </c>
      <c r="N157" s="218">
        <f>E157-H157+K157</f>
        <v>0</v>
      </c>
      <c r="O157" s="22"/>
      <c r="P157" s="88"/>
      <c r="Q157" s="88"/>
      <c r="R157" s="88"/>
    </row>
    <row r="158" spans="1:18" s="2" customFormat="1" ht="94.5">
      <c r="A158" s="8">
        <v>2</v>
      </c>
      <c r="B158" s="9" t="s">
        <v>343</v>
      </c>
      <c r="C158" s="20">
        <f>C159</f>
        <v>12456370</v>
      </c>
      <c r="D158" s="20">
        <f t="shared" ref="D158:N158" si="92">D159</f>
        <v>12456370</v>
      </c>
      <c r="E158" s="20">
        <f t="shared" si="92"/>
        <v>0</v>
      </c>
      <c r="F158" s="20">
        <f t="shared" si="92"/>
        <v>0</v>
      </c>
      <c r="G158" s="20">
        <f t="shared" si="92"/>
        <v>0</v>
      </c>
      <c r="H158" s="20">
        <f t="shared" si="92"/>
        <v>0</v>
      </c>
      <c r="I158" s="20">
        <f t="shared" si="92"/>
        <v>16722187630</v>
      </c>
      <c r="J158" s="20">
        <f t="shared" si="92"/>
        <v>16722187630</v>
      </c>
      <c r="K158" s="20">
        <f t="shared" si="92"/>
        <v>0</v>
      </c>
      <c r="L158" s="20">
        <f t="shared" si="92"/>
        <v>16734644000</v>
      </c>
      <c r="M158" s="20">
        <f t="shared" si="92"/>
        <v>16734644000</v>
      </c>
      <c r="N158" s="20">
        <f t="shared" si="92"/>
        <v>0</v>
      </c>
      <c r="O158" s="22" t="s">
        <v>34</v>
      </c>
      <c r="P158" s="35"/>
      <c r="Q158" s="35"/>
      <c r="R158" s="35"/>
    </row>
    <row r="159" spans="1:18" ht="63">
      <c r="A159" s="63"/>
      <c r="B159" s="22" t="s">
        <v>39</v>
      </c>
      <c r="C159" s="218">
        <f>SUM(D159:E159)</f>
        <v>12456370</v>
      </c>
      <c r="D159" s="378">
        <v>12456370</v>
      </c>
      <c r="E159" s="218"/>
      <c r="F159" s="218"/>
      <c r="G159" s="218"/>
      <c r="H159" s="218"/>
      <c r="I159" s="218">
        <f>SUM(J159:K159)</f>
        <v>16722187630</v>
      </c>
      <c r="J159" s="218">
        <f>16734644000-12456370</f>
        <v>16722187630</v>
      </c>
      <c r="K159" s="218"/>
      <c r="L159" s="218">
        <f>SUM(M159:N159)</f>
        <v>16734644000</v>
      </c>
      <c r="M159" s="218">
        <f>D159-G159+J159</f>
        <v>16734644000</v>
      </c>
      <c r="N159" s="218">
        <f>E159-H159+K159</f>
        <v>0</v>
      </c>
      <c r="O159" s="22"/>
      <c r="P159" s="2"/>
      <c r="Q159" s="88"/>
      <c r="R159" s="88"/>
    </row>
    <row r="160" spans="1:18" s="2" customFormat="1" ht="66" customHeight="1">
      <c r="A160" s="8">
        <v>3</v>
      </c>
      <c r="B160" s="9" t="s">
        <v>44</v>
      </c>
      <c r="C160" s="376">
        <f>SUM(D160:E160)</f>
        <v>33000</v>
      </c>
      <c r="D160" s="376">
        <v>33000</v>
      </c>
      <c r="E160" s="376"/>
      <c r="F160" s="376"/>
      <c r="G160" s="376"/>
      <c r="H160" s="20"/>
      <c r="I160" s="20">
        <f>SUM(J160:K160)</f>
        <v>147000000</v>
      </c>
      <c r="J160" s="376">
        <f>147000000</f>
        <v>147000000</v>
      </c>
      <c r="K160" s="20"/>
      <c r="L160" s="20">
        <f>SUM(M160:N160)</f>
        <v>147033000</v>
      </c>
      <c r="M160" s="20">
        <f>D160-G160+J160</f>
        <v>147033000</v>
      </c>
      <c r="N160" s="20">
        <f>E160-H160+K160</f>
        <v>0</v>
      </c>
      <c r="O160" s="22" t="s">
        <v>41</v>
      </c>
    </row>
    <row r="161" spans="1:16" s="2" customFormat="1" ht="97.5" customHeight="1">
      <c r="A161" s="8">
        <v>4</v>
      </c>
      <c r="B161" s="9" t="s">
        <v>45</v>
      </c>
      <c r="C161" s="376">
        <f>C162</f>
        <v>147000000</v>
      </c>
      <c r="D161" s="376">
        <f t="shared" ref="D161:N161" si="93">D162</f>
        <v>147000000</v>
      </c>
      <c r="E161" s="376">
        <f t="shared" si="93"/>
        <v>0</v>
      </c>
      <c r="F161" s="376">
        <f t="shared" si="93"/>
        <v>147000000</v>
      </c>
      <c r="G161" s="376">
        <f t="shared" si="93"/>
        <v>147000000</v>
      </c>
      <c r="H161" s="376">
        <f t="shared" si="93"/>
        <v>0</v>
      </c>
      <c r="I161" s="376">
        <f t="shared" si="93"/>
        <v>0</v>
      </c>
      <c r="J161" s="376">
        <f t="shared" si="93"/>
        <v>0</v>
      </c>
      <c r="K161" s="376">
        <f t="shared" si="93"/>
        <v>0</v>
      </c>
      <c r="L161" s="376">
        <f t="shared" si="93"/>
        <v>0</v>
      </c>
      <c r="M161" s="376">
        <f t="shared" si="93"/>
        <v>0</v>
      </c>
      <c r="N161" s="376">
        <f t="shared" si="93"/>
        <v>0</v>
      </c>
      <c r="O161" s="22" t="s">
        <v>41</v>
      </c>
    </row>
    <row r="162" spans="1:16" ht="83.25" customHeight="1">
      <c r="A162" s="63"/>
      <c r="B162" s="22" t="s">
        <v>104</v>
      </c>
      <c r="C162" s="378">
        <f>SUM(D162:E162)</f>
        <v>147000000</v>
      </c>
      <c r="D162" s="378">
        <f>40000000+107000000</f>
        <v>147000000</v>
      </c>
      <c r="E162" s="218"/>
      <c r="F162" s="218">
        <f>SUM(G162:H162)</f>
        <v>147000000</v>
      </c>
      <c r="G162" s="378">
        <v>147000000</v>
      </c>
      <c r="H162" s="218"/>
      <c r="I162" s="378"/>
      <c r="J162" s="378"/>
      <c r="K162" s="218"/>
      <c r="L162" s="378">
        <f>M162</f>
        <v>0</v>
      </c>
      <c r="M162" s="218">
        <f>D162-G162+J162</f>
        <v>0</v>
      </c>
      <c r="N162" s="218">
        <f>E162-H162+K162</f>
        <v>0</v>
      </c>
      <c r="O162" s="22"/>
    </row>
    <row r="163" spans="1:16" s="2" customFormat="1" ht="26.25" customHeight="1">
      <c r="A163" s="245" t="s">
        <v>29</v>
      </c>
      <c r="B163" s="246" t="s">
        <v>21</v>
      </c>
      <c r="C163" s="247">
        <f>C164+C165+C167+C169+C171</f>
        <v>32152000000</v>
      </c>
      <c r="D163" s="247">
        <f t="shared" ref="D163:N163" si="94">D164+D165+D167+D169+D171</f>
        <v>30154000000</v>
      </c>
      <c r="E163" s="247">
        <f t="shared" si="94"/>
        <v>1998000000</v>
      </c>
      <c r="F163" s="247">
        <f t="shared" si="94"/>
        <v>369733600</v>
      </c>
      <c r="G163" s="247">
        <f t="shared" si="94"/>
        <v>369733600</v>
      </c>
      <c r="H163" s="247">
        <f t="shared" si="94"/>
        <v>0</v>
      </c>
      <c r="I163" s="247">
        <f t="shared" si="94"/>
        <v>369733600</v>
      </c>
      <c r="J163" s="247">
        <f t="shared" si="94"/>
        <v>369733600</v>
      </c>
      <c r="K163" s="247">
        <f t="shared" si="94"/>
        <v>0</v>
      </c>
      <c r="L163" s="247">
        <f t="shared" si="94"/>
        <v>32152000000</v>
      </c>
      <c r="M163" s="247">
        <f t="shared" si="94"/>
        <v>30154000000</v>
      </c>
      <c r="N163" s="247">
        <f t="shared" si="94"/>
        <v>1998000000</v>
      </c>
      <c r="O163" s="375">
        <f t="shared" ref="O163" si="95">SUM(O164:O167)</f>
        <v>0</v>
      </c>
    </row>
    <row r="164" spans="1:16" s="2" customFormat="1" ht="47.25">
      <c r="A164" s="8">
        <v>1</v>
      </c>
      <c r="B164" s="9" t="s">
        <v>47</v>
      </c>
      <c r="C164" s="376">
        <f>SUM(D164:E164)</f>
        <v>4020000000</v>
      </c>
      <c r="D164" s="376">
        <v>3829000000</v>
      </c>
      <c r="E164" s="376">
        <v>191000000</v>
      </c>
      <c r="F164" s="376">
        <f>SUM(G164:H164)</f>
        <v>172207200</v>
      </c>
      <c r="G164" s="376">
        <f>50000000+ 133207200-11000000</f>
        <v>172207200</v>
      </c>
      <c r="H164" s="20"/>
      <c r="I164" s="20"/>
      <c r="J164" s="20"/>
      <c r="K164" s="20"/>
      <c r="L164" s="20">
        <f>SUM(M164:N164)</f>
        <v>3847792800</v>
      </c>
      <c r="M164" s="20">
        <f>D164-G164+J164</f>
        <v>3656792800</v>
      </c>
      <c r="N164" s="20">
        <f>E164-H164+K164</f>
        <v>191000000</v>
      </c>
      <c r="O164" s="22" t="s">
        <v>42</v>
      </c>
    </row>
    <row r="165" spans="1:16" s="2" customFormat="1" ht="94.5">
      <c r="A165" s="8">
        <v>2</v>
      </c>
      <c r="B165" s="9" t="s">
        <v>343</v>
      </c>
      <c r="C165" s="376">
        <f>C166</f>
        <v>3099000000</v>
      </c>
      <c r="D165" s="376">
        <f t="shared" ref="D165:N165" si="96">D166</f>
        <v>2951000000</v>
      </c>
      <c r="E165" s="376">
        <f t="shared" si="96"/>
        <v>148000000</v>
      </c>
      <c r="F165" s="376">
        <f t="shared" si="96"/>
        <v>0</v>
      </c>
      <c r="G165" s="376">
        <f t="shared" si="96"/>
        <v>0</v>
      </c>
      <c r="H165" s="376">
        <f t="shared" si="96"/>
        <v>0</v>
      </c>
      <c r="I165" s="376">
        <f t="shared" si="96"/>
        <v>133207200</v>
      </c>
      <c r="J165" s="376">
        <f t="shared" si="96"/>
        <v>133207200</v>
      </c>
      <c r="K165" s="376">
        <f t="shared" si="96"/>
        <v>0</v>
      </c>
      <c r="L165" s="376">
        <f t="shared" si="96"/>
        <v>3232207200</v>
      </c>
      <c r="M165" s="376">
        <f t="shared" si="96"/>
        <v>3084207200</v>
      </c>
      <c r="N165" s="376">
        <f t="shared" si="96"/>
        <v>148000000</v>
      </c>
      <c r="O165" s="22" t="s">
        <v>34</v>
      </c>
    </row>
    <row r="166" spans="1:16" s="2" customFormat="1" ht="63">
      <c r="A166" s="5"/>
      <c r="B166" s="22" t="s">
        <v>39</v>
      </c>
      <c r="C166" s="379">
        <f>SUM(D166:E166)</f>
        <v>3099000000</v>
      </c>
      <c r="D166" s="379">
        <v>2951000000</v>
      </c>
      <c r="E166" s="379">
        <v>148000000</v>
      </c>
      <c r="F166" s="379"/>
      <c r="G166" s="379"/>
      <c r="H166" s="18"/>
      <c r="I166" s="379">
        <f>SUM(J166:K166)</f>
        <v>133207200</v>
      </c>
      <c r="J166" s="379">
        <v>133207200</v>
      </c>
      <c r="K166" s="18"/>
      <c r="L166" s="18">
        <f>SUM(M166:N166)</f>
        <v>3232207200</v>
      </c>
      <c r="M166" s="218">
        <f>D166-G166+J166</f>
        <v>3084207200</v>
      </c>
      <c r="N166" s="218">
        <f>E166-H166+K166</f>
        <v>148000000</v>
      </c>
      <c r="O166" s="22"/>
    </row>
    <row r="167" spans="1:16" s="2" customFormat="1" ht="103.5" customHeight="1">
      <c r="A167" s="8">
        <v>3</v>
      </c>
      <c r="B167" s="9" t="s">
        <v>45</v>
      </c>
      <c r="C167" s="376">
        <f>C168</f>
        <v>202000000</v>
      </c>
      <c r="D167" s="376">
        <f t="shared" ref="D167:N167" si="97">D168</f>
        <v>191000000</v>
      </c>
      <c r="E167" s="376">
        <f t="shared" si="97"/>
        <v>11000000</v>
      </c>
      <c r="F167" s="376">
        <f t="shared" si="97"/>
        <v>0</v>
      </c>
      <c r="G167" s="376">
        <f t="shared" si="97"/>
        <v>0</v>
      </c>
      <c r="H167" s="376">
        <f t="shared" si="97"/>
        <v>0</v>
      </c>
      <c r="I167" s="376">
        <f t="shared" si="97"/>
        <v>39000000</v>
      </c>
      <c r="J167" s="376">
        <f t="shared" si="97"/>
        <v>39000000</v>
      </c>
      <c r="K167" s="376">
        <f t="shared" si="97"/>
        <v>0</v>
      </c>
      <c r="L167" s="376">
        <f t="shared" si="97"/>
        <v>241000000</v>
      </c>
      <c r="M167" s="376">
        <f t="shared" si="97"/>
        <v>230000000</v>
      </c>
      <c r="N167" s="376">
        <f t="shared" si="97"/>
        <v>11000000</v>
      </c>
      <c r="O167" s="22" t="s">
        <v>34</v>
      </c>
    </row>
    <row r="168" spans="1:16" ht="47.25">
      <c r="A168" s="5"/>
      <c r="B168" s="22" t="s">
        <v>46</v>
      </c>
      <c r="C168" s="379">
        <f>SUM(D168:E168)</f>
        <v>202000000</v>
      </c>
      <c r="D168" s="379">
        <v>191000000</v>
      </c>
      <c r="E168" s="379">
        <v>11000000</v>
      </c>
      <c r="F168" s="18"/>
      <c r="G168" s="18"/>
      <c r="H168" s="18"/>
      <c r="I168" s="18">
        <f>SUM(J168:K168)</f>
        <v>39000000</v>
      </c>
      <c r="J168" s="379">
        <f>50000000-11000000</f>
        <v>39000000</v>
      </c>
      <c r="K168" s="18"/>
      <c r="L168" s="379">
        <f>SUM(M168:N168)</f>
        <v>241000000</v>
      </c>
      <c r="M168" s="379">
        <f>D168-G168+J168</f>
        <v>230000000</v>
      </c>
      <c r="N168" s="379">
        <f>E168-H168+K168</f>
        <v>11000000</v>
      </c>
      <c r="O168" s="22"/>
    </row>
    <row r="169" spans="1:16" s="2" customFormat="1" ht="78.75">
      <c r="A169" s="8">
        <v>4</v>
      </c>
      <c r="B169" s="228" t="s">
        <v>51</v>
      </c>
      <c r="C169" s="376">
        <f>C170</f>
        <v>8094000000</v>
      </c>
      <c r="D169" s="376">
        <f t="shared" ref="D169:N169" si="98">D170</f>
        <v>8094000000</v>
      </c>
      <c r="E169" s="376">
        <f t="shared" si="98"/>
        <v>0</v>
      </c>
      <c r="F169" s="376">
        <f t="shared" si="98"/>
        <v>197526400</v>
      </c>
      <c r="G169" s="376">
        <f t="shared" si="98"/>
        <v>197526400</v>
      </c>
      <c r="H169" s="376">
        <f t="shared" si="98"/>
        <v>0</v>
      </c>
      <c r="I169" s="376">
        <f t="shared" si="98"/>
        <v>0</v>
      </c>
      <c r="J169" s="376">
        <f t="shared" si="98"/>
        <v>0</v>
      </c>
      <c r="K169" s="376">
        <f t="shared" si="98"/>
        <v>0</v>
      </c>
      <c r="L169" s="376">
        <f t="shared" si="98"/>
        <v>7896473600</v>
      </c>
      <c r="M169" s="376">
        <f t="shared" si="98"/>
        <v>7896473600</v>
      </c>
      <c r="N169" s="376">
        <f t="shared" si="98"/>
        <v>0</v>
      </c>
      <c r="O169" s="22" t="s">
        <v>34</v>
      </c>
    </row>
    <row r="170" spans="1:16" s="2" customFormat="1" ht="63">
      <c r="A170" s="5"/>
      <c r="B170" s="45" t="s">
        <v>33</v>
      </c>
      <c r="C170" s="379">
        <f>SUM(D170:E170)</f>
        <v>8094000000</v>
      </c>
      <c r="D170" s="379">
        <v>8094000000</v>
      </c>
      <c r="E170" s="18"/>
      <c r="F170" s="379">
        <f>SUM(G170:H170)</f>
        <v>197526400</v>
      </c>
      <c r="G170" s="379">
        <f>300000000-102473600</f>
        <v>197526400</v>
      </c>
      <c r="H170" s="18"/>
      <c r="I170" s="18"/>
      <c r="J170" s="18"/>
      <c r="K170" s="18"/>
      <c r="L170" s="379">
        <f>SUM(M170:N170)</f>
        <v>7896473600</v>
      </c>
      <c r="M170" s="218">
        <f>D170-G170+J170</f>
        <v>7896473600</v>
      </c>
      <c r="N170" s="218">
        <f>E170-H170+K170</f>
        <v>0</v>
      </c>
      <c r="O170" s="22"/>
    </row>
    <row r="171" spans="1:16" s="2" customFormat="1" ht="78.75">
      <c r="A171" s="8">
        <v>5</v>
      </c>
      <c r="B171" s="228" t="s">
        <v>51</v>
      </c>
      <c r="C171" s="376">
        <f>C172</f>
        <v>16737000000</v>
      </c>
      <c r="D171" s="376">
        <f t="shared" ref="D171:N171" si="99">D172</f>
        <v>15089000000</v>
      </c>
      <c r="E171" s="376">
        <f t="shared" si="99"/>
        <v>1648000000</v>
      </c>
      <c r="F171" s="376">
        <f t="shared" si="99"/>
        <v>0</v>
      </c>
      <c r="G171" s="376">
        <f t="shared" si="99"/>
        <v>0</v>
      </c>
      <c r="H171" s="376">
        <f t="shared" si="99"/>
        <v>0</v>
      </c>
      <c r="I171" s="376">
        <f t="shared" si="99"/>
        <v>197526400</v>
      </c>
      <c r="J171" s="376">
        <f t="shared" si="99"/>
        <v>197526400</v>
      </c>
      <c r="K171" s="376">
        <f t="shared" si="99"/>
        <v>0</v>
      </c>
      <c r="L171" s="376">
        <f t="shared" si="99"/>
        <v>16934526400</v>
      </c>
      <c r="M171" s="376">
        <f t="shared" si="99"/>
        <v>15286526400</v>
      </c>
      <c r="N171" s="376">
        <f t="shared" si="99"/>
        <v>1648000000</v>
      </c>
      <c r="O171" s="22" t="s">
        <v>34</v>
      </c>
    </row>
    <row r="172" spans="1:16" ht="94.5">
      <c r="A172" s="363"/>
      <c r="B172" s="256" t="s">
        <v>52</v>
      </c>
      <c r="C172" s="377">
        <f>SUM(D172:E172)</f>
        <v>16737000000</v>
      </c>
      <c r="D172" s="377">
        <v>15089000000</v>
      </c>
      <c r="E172" s="377">
        <v>1648000000</v>
      </c>
      <c r="F172" s="257"/>
      <c r="G172" s="257"/>
      <c r="H172" s="257"/>
      <c r="I172" s="377">
        <f>SUM(J172:K172)</f>
        <v>197526400</v>
      </c>
      <c r="J172" s="377">
        <f>300000000-102473600</f>
        <v>197526400</v>
      </c>
      <c r="K172" s="257"/>
      <c r="L172" s="377">
        <f>SUM(M172:N172)</f>
        <v>16934526400</v>
      </c>
      <c r="M172" s="380">
        <f>D172-G172+J172</f>
        <v>15286526400</v>
      </c>
      <c r="N172" s="380">
        <f>E172-H172+K172</f>
        <v>1648000000</v>
      </c>
      <c r="O172" s="87"/>
      <c r="P172" s="2"/>
    </row>
  </sheetData>
  <mergeCells count="17">
    <mergeCell ref="N1:O1"/>
    <mergeCell ref="N5:O5"/>
    <mergeCell ref="D7:E7"/>
    <mergeCell ref="F7:H7"/>
    <mergeCell ref="I7:K7"/>
    <mergeCell ref="L6:N6"/>
    <mergeCell ref="L7:L8"/>
    <mergeCell ref="M7:N7"/>
    <mergeCell ref="F6:K6"/>
    <mergeCell ref="C6:E6"/>
    <mergeCell ref="C7:C8"/>
    <mergeCell ref="A10:B10"/>
    <mergeCell ref="O6:O8"/>
    <mergeCell ref="A2:O2"/>
    <mergeCell ref="A3:O3"/>
    <mergeCell ref="A6:A8"/>
    <mergeCell ref="B6:B8"/>
  </mergeCells>
  <pageMargins left="0.51181102362204722" right="0.31496062992125984" top="0.43307086614173229" bottom="0.47" header="0.31496062992125984" footer="0.23"/>
  <pageSetup paperSize="9" scale="53" fitToHeight="0" orientation="landscape" verticalDpi="0"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P140"/>
  <sheetViews>
    <sheetView zoomScale="85" zoomScaleNormal="85" workbookViewId="0">
      <selection activeCell="H16" sqref="H16"/>
    </sheetView>
  </sheetViews>
  <sheetFormatPr defaultColWidth="9" defaultRowHeight="15.75"/>
  <cols>
    <col min="1" max="1" width="5.25" style="89" customWidth="1"/>
    <col min="2" max="2" width="27.25" style="86" customWidth="1"/>
    <col min="3" max="3" width="16.625" style="86" customWidth="1"/>
    <col min="4" max="4" width="16.75" style="86" customWidth="1"/>
    <col min="5" max="5" width="15.875" style="86" customWidth="1"/>
    <col min="6" max="6" width="16.875" style="86" customWidth="1"/>
    <col min="7" max="7" width="16.75" style="86" customWidth="1"/>
    <col min="8" max="8" width="14.375" style="86" customWidth="1"/>
    <col min="9" max="10" width="16.5" style="86" customWidth="1"/>
    <col min="11" max="11" width="14.75" style="86" customWidth="1"/>
    <col min="12" max="12" width="17.25" style="86" customWidth="1"/>
    <col min="13" max="13" width="16.5" style="86" customWidth="1"/>
    <col min="14" max="14" width="15.875" style="86" customWidth="1"/>
    <col min="15" max="15" width="19.375" style="91" customWidth="1"/>
    <col min="16" max="16" width="39.5" style="117" hidden="1" customWidth="1"/>
    <col min="17" max="16384" width="9" style="86"/>
  </cols>
  <sheetData>
    <row r="1" spans="1:16" ht="25.5" customHeight="1">
      <c r="N1" s="695" t="s">
        <v>338</v>
      </c>
      <c r="O1" s="695"/>
      <c r="P1" s="58"/>
    </row>
    <row r="2" spans="1:16" ht="24.75" customHeight="1">
      <c r="A2" s="676" t="s">
        <v>284</v>
      </c>
      <c r="B2" s="676"/>
      <c r="C2" s="676"/>
      <c r="D2" s="676"/>
      <c r="E2" s="676"/>
      <c r="F2" s="676"/>
      <c r="G2" s="676"/>
      <c r="H2" s="676"/>
      <c r="I2" s="676"/>
      <c r="J2" s="676"/>
      <c r="K2" s="676"/>
      <c r="L2" s="676"/>
      <c r="M2" s="676"/>
      <c r="N2" s="676"/>
      <c r="O2" s="676"/>
      <c r="P2" s="676"/>
    </row>
    <row r="3" spans="1:16" ht="24.75" customHeight="1">
      <c r="A3" s="704" t="s">
        <v>151</v>
      </c>
      <c r="B3" s="704"/>
      <c r="C3" s="704"/>
      <c r="D3" s="704"/>
      <c r="E3" s="704"/>
      <c r="F3" s="704"/>
      <c r="G3" s="704"/>
      <c r="H3" s="704"/>
      <c r="I3" s="704"/>
      <c r="J3" s="704"/>
      <c r="K3" s="704"/>
      <c r="L3" s="704"/>
      <c r="M3" s="704"/>
      <c r="N3" s="704"/>
      <c r="O3" s="704"/>
      <c r="P3" s="704"/>
    </row>
    <row r="4" spans="1:16" ht="21.75" customHeight="1">
      <c r="A4" s="91"/>
      <c r="B4" s="92"/>
      <c r="C4" s="162"/>
      <c r="D4" s="162"/>
      <c r="E4" s="162"/>
      <c r="F4" s="162"/>
      <c r="G4" s="162"/>
      <c r="H4" s="162"/>
      <c r="I4" s="162"/>
      <c r="J4" s="162"/>
      <c r="K4" s="162"/>
      <c r="L4" s="162"/>
      <c r="M4" s="162"/>
      <c r="N4" s="703" t="s">
        <v>152</v>
      </c>
      <c r="O4" s="703"/>
      <c r="P4" s="96"/>
    </row>
    <row r="5" spans="1:16" ht="24" customHeight="1">
      <c r="A5" s="673" t="s">
        <v>1</v>
      </c>
      <c r="B5" s="673" t="s">
        <v>285</v>
      </c>
      <c r="C5" s="694" t="s">
        <v>154</v>
      </c>
      <c r="D5" s="694"/>
      <c r="E5" s="694"/>
      <c r="F5" s="705" t="s">
        <v>155</v>
      </c>
      <c r="G5" s="706"/>
      <c r="H5" s="706"/>
      <c r="I5" s="706"/>
      <c r="J5" s="706"/>
      <c r="K5" s="707"/>
      <c r="L5" s="694" t="s">
        <v>156</v>
      </c>
      <c r="M5" s="694"/>
      <c r="N5" s="694"/>
      <c r="O5" s="673" t="s">
        <v>157</v>
      </c>
      <c r="P5" s="673" t="s">
        <v>286</v>
      </c>
    </row>
    <row r="6" spans="1:16" ht="24" customHeight="1">
      <c r="A6" s="674"/>
      <c r="B6" s="674"/>
      <c r="C6" s="694"/>
      <c r="D6" s="694"/>
      <c r="E6" s="694"/>
      <c r="F6" s="708" t="s">
        <v>159</v>
      </c>
      <c r="G6" s="709"/>
      <c r="H6" s="710"/>
      <c r="I6" s="705" t="s">
        <v>160</v>
      </c>
      <c r="J6" s="706"/>
      <c r="K6" s="707"/>
      <c r="L6" s="694"/>
      <c r="M6" s="694"/>
      <c r="N6" s="694"/>
      <c r="O6" s="674"/>
      <c r="P6" s="674"/>
    </row>
    <row r="7" spans="1:16" ht="41.25" customHeight="1">
      <c r="A7" s="674"/>
      <c r="B7" s="674"/>
      <c r="C7" s="3" t="s">
        <v>161</v>
      </c>
      <c r="D7" s="3" t="s">
        <v>162</v>
      </c>
      <c r="E7" s="3" t="s">
        <v>163</v>
      </c>
      <c r="F7" s="97" t="s">
        <v>161</v>
      </c>
      <c r="G7" s="98" t="s">
        <v>162</v>
      </c>
      <c r="H7" s="98" t="s">
        <v>163</v>
      </c>
      <c r="I7" s="3" t="s">
        <v>161</v>
      </c>
      <c r="J7" s="99" t="s">
        <v>162</v>
      </c>
      <c r="K7" s="99" t="s">
        <v>163</v>
      </c>
      <c r="L7" s="3" t="s">
        <v>161</v>
      </c>
      <c r="M7" s="99" t="s">
        <v>162</v>
      </c>
      <c r="N7" s="99" t="s">
        <v>163</v>
      </c>
      <c r="O7" s="675"/>
      <c r="P7" s="675"/>
    </row>
    <row r="8" spans="1:16" ht="15.75" customHeight="1">
      <c r="A8" s="222" t="s">
        <v>8</v>
      </c>
      <c r="B8" s="222" t="s">
        <v>20</v>
      </c>
      <c r="C8" s="508" t="s">
        <v>164</v>
      </c>
      <c r="D8" s="508">
        <v>2</v>
      </c>
      <c r="E8" s="508">
        <v>3</v>
      </c>
      <c r="F8" s="509" t="s">
        <v>166</v>
      </c>
      <c r="G8" s="510">
        <v>5</v>
      </c>
      <c r="H8" s="510">
        <v>6</v>
      </c>
      <c r="I8" s="508" t="s">
        <v>165</v>
      </c>
      <c r="J8" s="508">
        <v>8</v>
      </c>
      <c r="K8" s="508">
        <v>9</v>
      </c>
      <c r="L8" s="508" t="s">
        <v>167</v>
      </c>
      <c r="M8" s="511" t="s">
        <v>287</v>
      </c>
      <c r="N8" s="511" t="s">
        <v>288</v>
      </c>
      <c r="O8" s="511"/>
      <c r="P8" s="222"/>
    </row>
    <row r="9" spans="1:16" ht="26.25" customHeight="1">
      <c r="A9" s="538"/>
      <c r="B9" s="538" t="s">
        <v>168</v>
      </c>
      <c r="C9" s="539">
        <f>C30+C48</f>
        <v>54158520406</v>
      </c>
      <c r="D9" s="539">
        <f t="shared" ref="D9:N9" si="0">D30+D48</f>
        <v>52596197302</v>
      </c>
      <c r="E9" s="539">
        <f t="shared" si="0"/>
        <v>1562323104</v>
      </c>
      <c r="F9" s="540">
        <f>F30+F48</f>
        <v>16749499455</v>
      </c>
      <c r="G9" s="540">
        <f t="shared" si="0"/>
        <v>16318388189</v>
      </c>
      <c r="H9" s="540">
        <f t="shared" si="0"/>
        <v>431111266</v>
      </c>
      <c r="I9" s="539">
        <f t="shared" si="0"/>
        <v>16749499455</v>
      </c>
      <c r="J9" s="539">
        <f t="shared" si="0"/>
        <v>16318388189</v>
      </c>
      <c r="K9" s="539">
        <f t="shared" si="0"/>
        <v>431111266</v>
      </c>
      <c r="L9" s="539">
        <f t="shared" si="0"/>
        <v>54158520406</v>
      </c>
      <c r="M9" s="539">
        <f t="shared" si="0"/>
        <v>52596197302</v>
      </c>
      <c r="N9" s="539">
        <f t="shared" si="0"/>
        <v>1562323104</v>
      </c>
      <c r="O9" s="173"/>
      <c r="P9" s="174"/>
    </row>
    <row r="10" spans="1:16" s="177" customFormat="1" ht="33" customHeight="1">
      <c r="A10" s="541" t="s">
        <v>8</v>
      </c>
      <c r="B10" s="542" t="s">
        <v>202</v>
      </c>
      <c r="C10" s="543">
        <f>C11+C12+C13+C16+C22+C25+C21</f>
        <v>54158520406</v>
      </c>
      <c r="D10" s="543">
        <f t="shared" ref="D10:N10" si="1">D11+D12+D13+D16+D22+D25+D21</f>
        <v>52596197302</v>
      </c>
      <c r="E10" s="543">
        <f t="shared" si="1"/>
        <v>1562323104</v>
      </c>
      <c r="F10" s="543">
        <f t="shared" si="1"/>
        <v>16749499455</v>
      </c>
      <c r="G10" s="543">
        <f t="shared" si="1"/>
        <v>16318388189</v>
      </c>
      <c r="H10" s="543">
        <f t="shared" si="1"/>
        <v>431111266</v>
      </c>
      <c r="I10" s="543">
        <f t="shared" si="1"/>
        <v>16749499455</v>
      </c>
      <c r="J10" s="543">
        <f t="shared" si="1"/>
        <v>16318388189</v>
      </c>
      <c r="K10" s="543">
        <f t="shared" si="1"/>
        <v>431111266</v>
      </c>
      <c r="L10" s="543">
        <f t="shared" si="1"/>
        <v>54158520406</v>
      </c>
      <c r="M10" s="543">
        <f t="shared" si="1"/>
        <v>52596197302</v>
      </c>
      <c r="N10" s="543">
        <f t="shared" si="1"/>
        <v>1562323104</v>
      </c>
      <c r="O10" s="176"/>
      <c r="P10" s="175"/>
    </row>
    <row r="11" spans="1:16" s="215" customFormat="1" ht="54.75" customHeight="1">
      <c r="A11" s="128">
        <v>1</v>
      </c>
      <c r="B11" s="68" t="s">
        <v>203</v>
      </c>
      <c r="C11" s="544">
        <f>C93+C106+C113+C126</f>
        <v>12600983286</v>
      </c>
      <c r="D11" s="544">
        <f t="shared" ref="D11:N11" si="2">D93+D106+D113+D126</f>
        <v>12234223286</v>
      </c>
      <c r="E11" s="544">
        <f t="shared" si="2"/>
        <v>366760000</v>
      </c>
      <c r="F11" s="544">
        <f t="shared" si="2"/>
        <v>0</v>
      </c>
      <c r="G11" s="544">
        <f t="shared" si="2"/>
        <v>0</v>
      </c>
      <c r="H11" s="544">
        <f t="shared" si="2"/>
        <v>0</v>
      </c>
      <c r="I11" s="544">
        <f t="shared" si="2"/>
        <v>2250015363</v>
      </c>
      <c r="J11" s="544">
        <f t="shared" si="2"/>
        <v>2233123767</v>
      </c>
      <c r="K11" s="544">
        <f t="shared" si="2"/>
        <v>16891596</v>
      </c>
      <c r="L11" s="544">
        <f t="shared" si="2"/>
        <v>14850998649</v>
      </c>
      <c r="M11" s="544">
        <f t="shared" si="2"/>
        <v>14467347053</v>
      </c>
      <c r="N11" s="544">
        <f t="shared" si="2"/>
        <v>383651596</v>
      </c>
      <c r="O11" s="574" t="s">
        <v>34</v>
      </c>
      <c r="P11" s="69" t="s">
        <v>966</v>
      </c>
    </row>
    <row r="12" spans="1:16" s="215" customFormat="1" ht="44.25" customHeight="1">
      <c r="A12" s="128">
        <v>2</v>
      </c>
      <c r="B12" s="68" t="s">
        <v>204</v>
      </c>
      <c r="C12" s="544">
        <f>C32+C37+C51+C81+C69+C108+C115+C128</f>
        <v>12088694368</v>
      </c>
      <c r="D12" s="544">
        <f t="shared" ref="D12:N12" si="3">D32+D37+D51+D81+D69+D108+D115+D128</f>
        <v>11694379307</v>
      </c>
      <c r="E12" s="544">
        <f t="shared" si="3"/>
        <v>394315061</v>
      </c>
      <c r="F12" s="544">
        <f t="shared" si="3"/>
        <v>3324500694</v>
      </c>
      <c r="G12" s="544">
        <f t="shared" si="3"/>
        <v>3212809098</v>
      </c>
      <c r="H12" s="544">
        <f t="shared" si="3"/>
        <v>111691596</v>
      </c>
      <c r="I12" s="544">
        <f t="shared" si="3"/>
        <v>8427922648</v>
      </c>
      <c r="J12" s="544">
        <f t="shared" si="3"/>
        <v>8281390443</v>
      </c>
      <c r="K12" s="544">
        <f t="shared" si="3"/>
        <v>146532205</v>
      </c>
      <c r="L12" s="544">
        <f t="shared" si="3"/>
        <v>17192116322</v>
      </c>
      <c r="M12" s="544">
        <f t="shared" si="3"/>
        <v>16762960652</v>
      </c>
      <c r="N12" s="544">
        <f t="shared" si="3"/>
        <v>429155670</v>
      </c>
      <c r="O12" s="574" t="s">
        <v>34</v>
      </c>
      <c r="P12" s="217" t="s">
        <v>290</v>
      </c>
    </row>
    <row r="13" spans="1:16" s="215" customFormat="1" ht="35.25" customHeight="1">
      <c r="A13" s="128">
        <v>3</v>
      </c>
      <c r="B13" s="68" t="s">
        <v>206</v>
      </c>
      <c r="C13" s="544">
        <f>C14+C15</f>
        <v>3901732568</v>
      </c>
      <c r="D13" s="544">
        <f t="shared" ref="D13:N13" si="4">D14+D15</f>
        <v>3790938525</v>
      </c>
      <c r="E13" s="544">
        <f t="shared" si="4"/>
        <v>110794043</v>
      </c>
      <c r="F13" s="545">
        <f t="shared" si="4"/>
        <v>320041127</v>
      </c>
      <c r="G13" s="545">
        <f t="shared" si="4"/>
        <v>319485457</v>
      </c>
      <c r="H13" s="545">
        <f t="shared" si="4"/>
        <v>555670</v>
      </c>
      <c r="I13" s="544">
        <f t="shared" si="4"/>
        <v>4954712699</v>
      </c>
      <c r="J13" s="544">
        <f t="shared" si="4"/>
        <v>4705575234</v>
      </c>
      <c r="K13" s="544">
        <f t="shared" si="4"/>
        <v>249137465</v>
      </c>
      <c r="L13" s="544">
        <f t="shared" si="4"/>
        <v>8536404140</v>
      </c>
      <c r="M13" s="544">
        <f t="shared" si="4"/>
        <v>8177028302</v>
      </c>
      <c r="N13" s="544">
        <f t="shared" si="4"/>
        <v>359375838</v>
      </c>
      <c r="O13" s="574"/>
      <c r="P13" s="69"/>
    </row>
    <row r="14" spans="1:16" s="215" customFormat="1" ht="60.75" customHeight="1">
      <c r="A14" s="128"/>
      <c r="B14" s="68" t="s">
        <v>207</v>
      </c>
      <c r="C14" s="544">
        <f>C53+C71+C97+C117</f>
        <v>2718604944</v>
      </c>
      <c r="D14" s="544">
        <f t="shared" ref="D14:N14" si="5">D53+D71+D97+D117</f>
        <v>2633810901</v>
      </c>
      <c r="E14" s="544">
        <f t="shared" si="5"/>
        <v>84794043</v>
      </c>
      <c r="F14" s="544">
        <f t="shared" si="5"/>
        <v>19913503</v>
      </c>
      <c r="G14" s="544">
        <f t="shared" si="5"/>
        <v>19357833</v>
      </c>
      <c r="H14" s="544">
        <f t="shared" si="5"/>
        <v>555670</v>
      </c>
      <c r="I14" s="544">
        <f t="shared" si="5"/>
        <v>4582028699</v>
      </c>
      <c r="J14" s="544">
        <f t="shared" si="5"/>
        <v>4378891234</v>
      </c>
      <c r="K14" s="544">
        <f t="shared" si="5"/>
        <v>203137465</v>
      </c>
      <c r="L14" s="544">
        <f t="shared" si="5"/>
        <v>7280720140</v>
      </c>
      <c r="M14" s="544">
        <f t="shared" si="5"/>
        <v>6993344302</v>
      </c>
      <c r="N14" s="544">
        <f t="shared" si="5"/>
        <v>287375838</v>
      </c>
      <c r="O14" s="574" t="s">
        <v>34</v>
      </c>
      <c r="P14" s="69" t="s">
        <v>291</v>
      </c>
    </row>
    <row r="15" spans="1:16" s="215" customFormat="1" ht="37.5" customHeight="1">
      <c r="A15" s="128"/>
      <c r="B15" s="68" t="s">
        <v>209</v>
      </c>
      <c r="C15" s="544">
        <f>C54+C83+C72+C130</f>
        <v>1183127624</v>
      </c>
      <c r="D15" s="544">
        <f t="shared" ref="D15:N15" si="6">D54+D83+D72+D130</f>
        <v>1157127624</v>
      </c>
      <c r="E15" s="544">
        <f t="shared" si="6"/>
        <v>26000000</v>
      </c>
      <c r="F15" s="544">
        <f t="shared" si="6"/>
        <v>300127624</v>
      </c>
      <c r="G15" s="544">
        <f t="shared" si="6"/>
        <v>300127624</v>
      </c>
      <c r="H15" s="544">
        <f t="shared" si="6"/>
        <v>0</v>
      </c>
      <c r="I15" s="544">
        <f t="shared" si="6"/>
        <v>372684000</v>
      </c>
      <c r="J15" s="544">
        <f t="shared" si="6"/>
        <v>326684000</v>
      </c>
      <c r="K15" s="544">
        <f t="shared" si="6"/>
        <v>46000000</v>
      </c>
      <c r="L15" s="544">
        <f t="shared" si="6"/>
        <v>1255684000</v>
      </c>
      <c r="M15" s="544">
        <f t="shared" si="6"/>
        <v>1183684000</v>
      </c>
      <c r="N15" s="544">
        <f t="shared" si="6"/>
        <v>72000000</v>
      </c>
      <c r="O15" s="574" t="s">
        <v>245</v>
      </c>
      <c r="P15" s="69" t="s">
        <v>967</v>
      </c>
    </row>
    <row r="16" spans="1:16" s="215" customFormat="1" ht="41.25" customHeight="1">
      <c r="A16" s="128">
        <v>4</v>
      </c>
      <c r="B16" s="68" t="s">
        <v>211</v>
      </c>
      <c r="C16" s="544">
        <f>C17+C20</f>
        <v>17469047574</v>
      </c>
      <c r="D16" s="544">
        <f t="shared" ref="D16:N16" si="7">D17+D20</f>
        <v>17023047574</v>
      </c>
      <c r="E16" s="544">
        <f t="shared" si="7"/>
        <v>446000000</v>
      </c>
      <c r="F16" s="545">
        <f t="shared" si="7"/>
        <v>11519020024</v>
      </c>
      <c r="G16" s="545">
        <f t="shared" si="7"/>
        <v>11246610024</v>
      </c>
      <c r="H16" s="545">
        <f t="shared" si="7"/>
        <v>272410000</v>
      </c>
      <c r="I16" s="544">
        <f t="shared" si="7"/>
        <v>0</v>
      </c>
      <c r="J16" s="544">
        <f t="shared" si="7"/>
        <v>0</v>
      </c>
      <c r="K16" s="544">
        <f t="shared" si="7"/>
        <v>0</v>
      </c>
      <c r="L16" s="544">
        <f t="shared" si="7"/>
        <v>5950027550</v>
      </c>
      <c r="M16" s="544">
        <f t="shared" si="7"/>
        <v>5776437550</v>
      </c>
      <c r="N16" s="544">
        <f t="shared" si="7"/>
        <v>173590000</v>
      </c>
      <c r="O16" s="574"/>
      <c r="P16" s="69"/>
    </row>
    <row r="17" spans="1:16" s="215" customFormat="1" ht="54" customHeight="1">
      <c r="A17" s="132" t="s">
        <v>32</v>
      </c>
      <c r="B17" s="68" t="s">
        <v>212</v>
      </c>
      <c r="C17" s="544">
        <f>C18+C19</f>
        <v>16016047574</v>
      </c>
      <c r="D17" s="544">
        <f t="shared" ref="D17:N17" si="8">D18+D19</f>
        <v>15615047574</v>
      </c>
      <c r="E17" s="544">
        <f t="shared" si="8"/>
        <v>401000000</v>
      </c>
      <c r="F17" s="545">
        <f t="shared" si="8"/>
        <v>10801957174</v>
      </c>
      <c r="G17" s="545">
        <f t="shared" si="8"/>
        <v>10552547174</v>
      </c>
      <c r="H17" s="545">
        <f t="shared" si="8"/>
        <v>249410000</v>
      </c>
      <c r="I17" s="544">
        <f t="shared" si="8"/>
        <v>0</v>
      </c>
      <c r="J17" s="544">
        <f t="shared" si="8"/>
        <v>0</v>
      </c>
      <c r="K17" s="544">
        <f t="shared" si="8"/>
        <v>0</v>
      </c>
      <c r="L17" s="544">
        <f t="shared" si="8"/>
        <v>5214090400</v>
      </c>
      <c r="M17" s="544">
        <f t="shared" si="8"/>
        <v>5062500400</v>
      </c>
      <c r="N17" s="544">
        <f t="shared" si="8"/>
        <v>151590000</v>
      </c>
      <c r="O17" s="574" t="s">
        <v>138</v>
      </c>
      <c r="P17" s="69"/>
    </row>
    <row r="18" spans="1:16" s="402" customFormat="1" ht="90.75" customHeight="1">
      <c r="A18" s="133" t="s">
        <v>213</v>
      </c>
      <c r="B18" s="546" t="s">
        <v>214</v>
      </c>
      <c r="C18" s="547">
        <f t="shared" ref="C18:N18" si="9">C57+C66+C111+C121+C134</f>
        <v>8237847574</v>
      </c>
      <c r="D18" s="547">
        <f t="shared" si="9"/>
        <v>8036847574</v>
      </c>
      <c r="E18" s="547">
        <f t="shared" si="9"/>
        <v>201000000</v>
      </c>
      <c r="F18" s="547">
        <f t="shared" si="9"/>
        <v>6821207574</v>
      </c>
      <c r="G18" s="547">
        <f t="shared" si="9"/>
        <v>6695207574</v>
      </c>
      <c r="H18" s="547">
        <f t="shared" si="9"/>
        <v>126000000</v>
      </c>
      <c r="I18" s="547">
        <f t="shared" si="9"/>
        <v>0</v>
      </c>
      <c r="J18" s="547">
        <f t="shared" si="9"/>
        <v>0</v>
      </c>
      <c r="K18" s="547">
        <f t="shared" si="9"/>
        <v>0</v>
      </c>
      <c r="L18" s="547">
        <f t="shared" si="9"/>
        <v>1416640000</v>
      </c>
      <c r="M18" s="547">
        <f t="shared" si="9"/>
        <v>1341640000</v>
      </c>
      <c r="N18" s="547">
        <f t="shared" si="9"/>
        <v>75000000</v>
      </c>
      <c r="O18" s="575"/>
      <c r="P18" s="163" t="s">
        <v>215</v>
      </c>
    </row>
    <row r="19" spans="1:16" s="402" customFormat="1" ht="57" customHeight="1">
      <c r="A19" s="133" t="s">
        <v>213</v>
      </c>
      <c r="B19" s="546" t="s">
        <v>216</v>
      </c>
      <c r="C19" s="547">
        <f t="shared" ref="C19:N19" si="10">C58+C67+C86+C100+C120+C133</f>
        <v>7778200000</v>
      </c>
      <c r="D19" s="547">
        <f t="shared" si="10"/>
        <v>7578200000</v>
      </c>
      <c r="E19" s="547">
        <f t="shared" si="10"/>
        <v>200000000</v>
      </c>
      <c r="F19" s="547">
        <f t="shared" si="10"/>
        <v>3980749600</v>
      </c>
      <c r="G19" s="547">
        <f t="shared" si="10"/>
        <v>3857339600</v>
      </c>
      <c r="H19" s="547">
        <f t="shared" si="10"/>
        <v>123410000</v>
      </c>
      <c r="I19" s="547">
        <f t="shared" si="10"/>
        <v>0</v>
      </c>
      <c r="J19" s="547">
        <f t="shared" si="10"/>
        <v>0</v>
      </c>
      <c r="K19" s="547">
        <f t="shared" si="10"/>
        <v>0</v>
      </c>
      <c r="L19" s="547">
        <f t="shared" si="10"/>
        <v>3797450400</v>
      </c>
      <c r="M19" s="547">
        <f t="shared" si="10"/>
        <v>3720860400</v>
      </c>
      <c r="N19" s="547">
        <f t="shared" si="10"/>
        <v>76590000</v>
      </c>
      <c r="O19" s="575"/>
      <c r="P19" s="163" t="s">
        <v>217</v>
      </c>
    </row>
    <row r="20" spans="1:16" s="215" customFormat="1" ht="39.75" customHeight="1">
      <c r="A20" s="128" t="s">
        <v>32</v>
      </c>
      <c r="B20" s="129" t="s">
        <v>220</v>
      </c>
      <c r="C20" s="544">
        <f t="shared" ref="C20:N20" si="11">C59+C101+C135</f>
        <v>1453000000</v>
      </c>
      <c r="D20" s="544">
        <f t="shared" si="11"/>
        <v>1408000000</v>
      </c>
      <c r="E20" s="544">
        <f t="shared" si="11"/>
        <v>45000000</v>
      </c>
      <c r="F20" s="544">
        <f t="shared" si="11"/>
        <v>717062850</v>
      </c>
      <c r="G20" s="544">
        <f t="shared" si="11"/>
        <v>694062850</v>
      </c>
      <c r="H20" s="544">
        <f t="shared" si="11"/>
        <v>23000000</v>
      </c>
      <c r="I20" s="544">
        <f t="shared" si="11"/>
        <v>0</v>
      </c>
      <c r="J20" s="544">
        <f t="shared" si="11"/>
        <v>0</v>
      </c>
      <c r="K20" s="544">
        <f t="shared" si="11"/>
        <v>0</v>
      </c>
      <c r="L20" s="544">
        <f t="shared" si="11"/>
        <v>735937150</v>
      </c>
      <c r="M20" s="544">
        <f t="shared" si="11"/>
        <v>713937150</v>
      </c>
      <c r="N20" s="544">
        <f t="shared" si="11"/>
        <v>22000000</v>
      </c>
      <c r="O20" s="574" t="s">
        <v>34</v>
      </c>
      <c r="P20" s="69" t="s">
        <v>250</v>
      </c>
    </row>
    <row r="21" spans="1:16" s="215" customFormat="1" ht="52.5" customHeight="1">
      <c r="A21" s="128">
        <v>5</v>
      </c>
      <c r="B21" s="129" t="s">
        <v>929</v>
      </c>
      <c r="C21" s="544">
        <f t="shared" ref="C21:N21" si="12">C122+C136</f>
        <v>6287000000</v>
      </c>
      <c r="D21" s="544">
        <f t="shared" si="12"/>
        <v>6104000000</v>
      </c>
      <c r="E21" s="544">
        <f t="shared" si="12"/>
        <v>183000000</v>
      </c>
      <c r="F21" s="544">
        <f t="shared" si="12"/>
        <v>1092000000</v>
      </c>
      <c r="G21" s="544">
        <f t="shared" si="12"/>
        <v>1060000000</v>
      </c>
      <c r="H21" s="544">
        <f t="shared" si="12"/>
        <v>32000000</v>
      </c>
      <c r="I21" s="544">
        <f t="shared" si="12"/>
        <v>0</v>
      </c>
      <c r="J21" s="544">
        <f t="shared" si="12"/>
        <v>0</v>
      </c>
      <c r="K21" s="544">
        <f t="shared" si="12"/>
        <v>0</v>
      </c>
      <c r="L21" s="544">
        <f t="shared" si="12"/>
        <v>5195000000</v>
      </c>
      <c r="M21" s="544">
        <f t="shared" si="12"/>
        <v>5044000000</v>
      </c>
      <c r="N21" s="544">
        <f t="shared" si="12"/>
        <v>151000000</v>
      </c>
      <c r="O21" s="574"/>
      <c r="P21" s="69" t="s">
        <v>968</v>
      </c>
    </row>
    <row r="22" spans="1:16" s="215" customFormat="1" ht="39.75" customHeight="1">
      <c r="A22" s="128">
        <v>6</v>
      </c>
      <c r="B22" s="68" t="s">
        <v>222</v>
      </c>
      <c r="C22" s="544">
        <f>C23+C24</f>
        <v>407000000</v>
      </c>
      <c r="D22" s="544">
        <f t="shared" ref="D22:N22" si="13">D23+D24</f>
        <v>396000000</v>
      </c>
      <c r="E22" s="544">
        <f t="shared" si="13"/>
        <v>11000000</v>
      </c>
      <c r="F22" s="545">
        <f t="shared" si="13"/>
        <v>90025000</v>
      </c>
      <c r="G22" s="545">
        <f t="shared" si="13"/>
        <v>90025000</v>
      </c>
      <c r="H22" s="545">
        <f t="shared" si="13"/>
        <v>0</v>
      </c>
      <c r="I22" s="544">
        <f t="shared" si="13"/>
        <v>455526000</v>
      </c>
      <c r="J22" s="544">
        <f t="shared" si="13"/>
        <v>449526000</v>
      </c>
      <c r="K22" s="544">
        <f t="shared" si="13"/>
        <v>6000000</v>
      </c>
      <c r="L22" s="544">
        <f t="shared" si="13"/>
        <v>772501000</v>
      </c>
      <c r="M22" s="544">
        <f t="shared" si="13"/>
        <v>755501000</v>
      </c>
      <c r="N22" s="544">
        <f t="shared" si="13"/>
        <v>17000000</v>
      </c>
      <c r="O22" s="574"/>
      <c r="P22" s="69"/>
    </row>
    <row r="23" spans="1:16" s="215" customFormat="1" ht="37.5" customHeight="1">
      <c r="A23" s="132" t="s">
        <v>32</v>
      </c>
      <c r="B23" s="68" t="s">
        <v>292</v>
      </c>
      <c r="C23" s="544">
        <f t="shared" ref="C23:N23" si="14">C44+C74+C88+C138</f>
        <v>288000000</v>
      </c>
      <c r="D23" s="544">
        <f t="shared" si="14"/>
        <v>280000000</v>
      </c>
      <c r="E23" s="544">
        <f t="shared" si="14"/>
        <v>8000000</v>
      </c>
      <c r="F23" s="544">
        <f t="shared" si="14"/>
        <v>90025000</v>
      </c>
      <c r="G23" s="544">
        <f t="shared" si="14"/>
        <v>90025000</v>
      </c>
      <c r="H23" s="544">
        <f t="shared" si="14"/>
        <v>0</v>
      </c>
      <c r="I23" s="544">
        <f t="shared" si="14"/>
        <v>355526000</v>
      </c>
      <c r="J23" s="544">
        <f t="shared" si="14"/>
        <v>349526000</v>
      </c>
      <c r="K23" s="544">
        <f t="shared" si="14"/>
        <v>6000000</v>
      </c>
      <c r="L23" s="544">
        <f t="shared" si="14"/>
        <v>553501000</v>
      </c>
      <c r="M23" s="544">
        <f t="shared" si="14"/>
        <v>539501000</v>
      </c>
      <c r="N23" s="544">
        <f t="shared" si="14"/>
        <v>14000000</v>
      </c>
      <c r="O23" s="574" t="s">
        <v>41</v>
      </c>
      <c r="P23" s="698" t="s">
        <v>293</v>
      </c>
    </row>
    <row r="24" spans="1:16" s="215" customFormat="1" ht="41.25" customHeight="1">
      <c r="A24" s="132" t="s">
        <v>32</v>
      </c>
      <c r="B24" s="68" t="s">
        <v>223</v>
      </c>
      <c r="C24" s="544">
        <f>C75</f>
        <v>119000000</v>
      </c>
      <c r="D24" s="544">
        <f t="shared" ref="D24:N24" si="15">D75</f>
        <v>116000000</v>
      </c>
      <c r="E24" s="544">
        <f t="shared" si="15"/>
        <v>3000000</v>
      </c>
      <c r="F24" s="545">
        <f t="shared" si="15"/>
        <v>0</v>
      </c>
      <c r="G24" s="545">
        <f t="shared" si="15"/>
        <v>0</v>
      </c>
      <c r="H24" s="545">
        <f t="shared" si="15"/>
        <v>0</v>
      </c>
      <c r="I24" s="544">
        <f t="shared" si="15"/>
        <v>100000000</v>
      </c>
      <c r="J24" s="544">
        <f t="shared" si="15"/>
        <v>100000000</v>
      </c>
      <c r="K24" s="544">
        <f t="shared" si="15"/>
        <v>0</v>
      </c>
      <c r="L24" s="544">
        <f t="shared" si="15"/>
        <v>219000000</v>
      </c>
      <c r="M24" s="544">
        <f t="shared" si="15"/>
        <v>216000000</v>
      </c>
      <c r="N24" s="544">
        <f t="shared" si="15"/>
        <v>3000000</v>
      </c>
      <c r="O24" s="574" t="s">
        <v>41</v>
      </c>
      <c r="P24" s="698"/>
    </row>
    <row r="25" spans="1:16" s="215" customFormat="1" ht="47.25" customHeight="1">
      <c r="A25" s="128">
        <v>7</v>
      </c>
      <c r="B25" s="68" t="s">
        <v>224</v>
      </c>
      <c r="C25" s="544">
        <f>C26+C27</f>
        <v>1404062610</v>
      </c>
      <c r="D25" s="544">
        <f t="shared" ref="D25:N25" si="16">D26+D27</f>
        <v>1353608610</v>
      </c>
      <c r="E25" s="544">
        <f t="shared" si="16"/>
        <v>50454000</v>
      </c>
      <c r="F25" s="545">
        <f t="shared" si="16"/>
        <v>403912610</v>
      </c>
      <c r="G25" s="545">
        <f t="shared" si="16"/>
        <v>389458610</v>
      </c>
      <c r="H25" s="545">
        <f t="shared" si="16"/>
        <v>14454000</v>
      </c>
      <c r="I25" s="544">
        <f t="shared" si="16"/>
        <v>661322745</v>
      </c>
      <c r="J25" s="544">
        <f t="shared" si="16"/>
        <v>648772745</v>
      </c>
      <c r="K25" s="544">
        <f t="shared" si="16"/>
        <v>12550000</v>
      </c>
      <c r="L25" s="544">
        <f t="shared" si="16"/>
        <v>1661472745</v>
      </c>
      <c r="M25" s="544">
        <f t="shared" si="16"/>
        <v>1612922745</v>
      </c>
      <c r="N25" s="544">
        <f t="shared" si="16"/>
        <v>48550000</v>
      </c>
      <c r="O25" s="574"/>
      <c r="P25" s="69"/>
    </row>
    <row r="26" spans="1:16" s="215" customFormat="1" ht="54" customHeight="1">
      <c r="A26" s="132" t="s">
        <v>32</v>
      </c>
      <c r="B26" s="68" t="s">
        <v>225</v>
      </c>
      <c r="C26" s="544">
        <f t="shared" ref="C26:N26" si="17">C46+C61+C77+C90+C103+C140+C124</f>
        <v>1137026610</v>
      </c>
      <c r="D26" s="544">
        <f t="shared" si="17"/>
        <v>1094572610</v>
      </c>
      <c r="E26" s="544">
        <f t="shared" si="17"/>
        <v>42454000</v>
      </c>
      <c r="F26" s="544">
        <f t="shared" si="17"/>
        <v>351876610</v>
      </c>
      <c r="G26" s="544">
        <f t="shared" si="17"/>
        <v>339422610</v>
      </c>
      <c r="H26" s="544">
        <f t="shared" si="17"/>
        <v>12454000</v>
      </c>
      <c r="I26" s="544">
        <f t="shared" si="17"/>
        <v>524778300</v>
      </c>
      <c r="J26" s="544">
        <f t="shared" si="17"/>
        <v>518778300</v>
      </c>
      <c r="K26" s="544">
        <f t="shared" si="17"/>
        <v>6000000</v>
      </c>
      <c r="L26" s="544">
        <f t="shared" si="17"/>
        <v>1309928300</v>
      </c>
      <c r="M26" s="544">
        <f t="shared" si="17"/>
        <v>1273928300</v>
      </c>
      <c r="N26" s="544">
        <f t="shared" si="17"/>
        <v>36000000</v>
      </c>
      <c r="O26" s="574" t="s">
        <v>138</v>
      </c>
      <c r="P26" s="698" t="s">
        <v>294</v>
      </c>
    </row>
    <row r="27" spans="1:16" s="215" customFormat="1" ht="57.75" customHeight="1">
      <c r="A27" s="132" t="s">
        <v>32</v>
      </c>
      <c r="B27" s="68" t="s">
        <v>226</v>
      </c>
      <c r="C27" s="544">
        <f>C47+C78+C91</f>
        <v>267036000</v>
      </c>
      <c r="D27" s="544">
        <f t="shared" ref="D27:N27" si="18">D47+D78+D91</f>
        <v>259036000</v>
      </c>
      <c r="E27" s="544">
        <f t="shared" si="18"/>
        <v>8000000</v>
      </c>
      <c r="F27" s="544">
        <f t="shared" si="18"/>
        <v>52036000</v>
      </c>
      <c r="G27" s="544">
        <f t="shared" si="18"/>
        <v>50036000</v>
      </c>
      <c r="H27" s="544">
        <f t="shared" si="18"/>
        <v>2000000</v>
      </c>
      <c r="I27" s="544">
        <f t="shared" si="18"/>
        <v>136544445</v>
      </c>
      <c r="J27" s="544">
        <f t="shared" si="18"/>
        <v>129994445</v>
      </c>
      <c r="K27" s="544">
        <f t="shared" si="18"/>
        <v>6550000</v>
      </c>
      <c r="L27" s="544">
        <f t="shared" si="18"/>
        <v>351544445</v>
      </c>
      <c r="M27" s="544">
        <f t="shared" si="18"/>
        <v>338994445</v>
      </c>
      <c r="N27" s="544">
        <f t="shared" si="18"/>
        <v>12550000</v>
      </c>
      <c r="O27" s="574" t="s">
        <v>138</v>
      </c>
      <c r="P27" s="698"/>
    </row>
    <row r="28" spans="1:16" s="215" customFormat="1" ht="27.75" hidden="1" customHeight="1">
      <c r="A28" s="41"/>
      <c r="B28" s="72"/>
      <c r="C28" s="548"/>
      <c r="D28" s="548"/>
      <c r="E28" s="548"/>
      <c r="F28" s="549"/>
      <c r="G28" s="549"/>
      <c r="H28" s="549"/>
      <c r="I28" s="548"/>
      <c r="J28" s="548"/>
      <c r="K28" s="548"/>
      <c r="L28" s="548"/>
      <c r="M28" s="548"/>
      <c r="N28" s="548"/>
      <c r="O28" s="576"/>
      <c r="P28" s="165"/>
    </row>
    <row r="29" spans="1:16" s="215" customFormat="1" ht="27.75" customHeight="1">
      <c r="A29" s="550" t="s">
        <v>20</v>
      </c>
      <c r="B29" s="542" t="s">
        <v>227</v>
      </c>
      <c r="C29" s="543">
        <f>C30+C48</f>
        <v>54158520406</v>
      </c>
      <c r="D29" s="543">
        <f t="shared" ref="D29:P29" si="19">D30+D48</f>
        <v>52596197302</v>
      </c>
      <c r="E29" s="543">
        <f t="shared" si="19"/>
        <v>1562323104</v>
      </c>
      <c r="F29" s="551">
        <f t="shared" si="19"/>
        <v>16749499455</v>
      </c>
      <c r="G29" s="551">
        <f t="shared" si="19"/>
        <v>16318388189</v>
      </c>
      <c r="H29" s="551">
        <f t="shared" si="19"/>
        <v>431111266</v>
      </c>
      <c r="I29" s="543">
        <f t="shared" si="19"/>
        <v>16749499455</v>
      </c>
      <c r="J29" s="543">
        <f t="shared" si="19"/>
        <v>16318388189</v>
      </c>
      <c r="K29" s="543">
        <f t="shared" si="19"/>
        <v>431111266</v>
      </c>
      <c r="L29" s="543">
        <f t="shared" si="19"/>
        <v>54158520406</v>
      </c>
      <c r="M29" s="543">
        <f t="shared" si="19"/>
        <v>52596197302</v>
      </c>
      <c r="N29" s="543">
        <f t="shared" si="19"/>
        <v>1562323104</v>
      </c>
      <c r="O29" s="577">
        <f t="shared" si="19"/>
        <v>0</v>
      </c>
      <c r="P29" s="512">
        <f t="shared" si="19"/>
        <v>0</v>
      </c>
    </row>
    <row r="30" spans="1:16" s="215" customFormat="1" ht="28.5" customHeight="1">
      <c r="A30" s="550" t="s">
        <v>295</v>
      </c>
      <c r="B30" s="542" t="s">
        <v>169</v>
      </c>
      <c r="C30" s="543">
        <f>C31+C36+C41</f>
        <v>3686526000</v>
      </c>
      <c r="D30" s="543">
        <f t="shared" ref="D30:E30" si="20">D31+D36+D41</f>
        <v>3575526000</v>
      </c>
      <c r="E30" s="543">
        <f t="shared" si="20"/>
        <v>111000000</v>
      </c>
      <c r="F30" s="551">
        <f>F31+F36+F41</f>
        <v>3360696210</v>
      </c>
      <c r="G30" s="551">
        <f>G31+G36+G41</f>
        <v>3249696210</v>
      </c>
      <c r="H30" s="551">
        <f>H31+H36+H41</f>
        <v>111000000</v>
      </c>
      <c r="I30" s="543">
        <f t="shared" ref="I30:N30" si="21">I31+I36+I41</f>
        <v>3360696210</v>
      </c>
      <c r="J30" s="543">
        <f t="shared" si="21"/>
        <v>3249696210</v>
      </c>
      <c r="K30" s="543">
        <f t="shared" si="21"/>
        <v>111000000</v>
      </c>
      <c r="L30" s="543">
        <f t="shared" si="21"/>
        <v>3686526000</v>
      </c>
      <c r="M30" s="543">
        <f t="shared" si="21"/>
        <v>3575526000</v>
      </c>
      <c r="N30" s="543">
        <f t="shared" si="21"/>
        <v>111000000</v>
      </c>
      <c r="O30" s="577"/>
      <c r="P30" s="512"/>
    </row>
    <row r="31" spans="1:16" s="10" customFormat="1" ht="37.5" customHeight="1">
      <c r="A31" s="552" t="s">
        <v>28</v>
      </c>
      <c r="B31" s="553" t="s">
        <v>230</v>
      </c>
      <c r="C31" s="157">
        <f>C32</f>
        <v>3611000000</v>
      </c>
      <c r="D31" s="157">
        <f t="shared" ref="D31:E31" si="22">D32</f>
        <v>3506000000</v>
      </c>
      <c r="E31" s="157">
        <f t="shared" si="22"/>
        <v>105000000</v>
      </c>
      <c r="F31" s="554">
        <f>F32</f>
        <v>3285170210</v>
      </c>
      <c r="G31" s="554">
        <f t="shared" ref="G31:H31" si="23">G32</f>
        <v>3180170210</v>
      </c>
      <c r="H31" s="554">
        <f t="shared" si="23"/>
        <v>105000000</v>
      </c>
      <c r="I31" s="157">
        <f>I32</f>
        <v>0</v>
      </c>
      <c r="J31" s="157">
        <f t="shared" ref="J31:N31" si="24">J32</f>
        <v>0</v>
      </c>
      <c r="K31" s="157">
        <f t="shared" si="24"/>
        <v>0</v>
      </c>
      <c r="L31" s="157">
        <f t="shared" si="24"/>
        <v>325829790</v>
      </c>
      <c r="M31" s="157">
        <f t="shared" si="24"/>
        <v>325829790</v>
      </c>
      <c r="N31" s="157">
        <f t="shared" si="24"/>
        <v>0</v>
      </c>
      <c r="O31" s="578"/>
      <c r="P31" s="699" t="s">
        <v>296</v>
      </c>
    </row>
    <row r="32" spans="1:16" s="215" customFormat="1" ht="45" customHeight="1">
      <c r="A32" s="38">
        <v>1</v>
      </c>
      <c r="B32" s="71" t="s">
        <v>232</v>
      </c>
      <c r="C32" s="544">
        <f>C33+C34+C35</f>
        <v>3611000000</v>
      </c>
      <c r="D32" s="544">
        <f t="shared" ref="D32:E32" si="25">D33+D34+D35</f>
        <v>3506000000</v>
      </c>
      <c r="E32" s="544">
        <f t="shared" si="25"/>
        <v>105000000</v>
      </c>
      <c r="F32" s="545">
        <f>F33+F34+F35</f>
        <v>3285170210</v>
      </c>
      <c r="G32" s="545">
        <f t="shared" ref="G32:N32" si="26">G33+G34+G35</f>
        <v>3180170210</v>
      </c>
      <c r="H32" s="545">
        <f t="shared" si="26"/>
        <v>105000000</v>
      </c>
      <c r="I32" s="544">
        <f t="shared" si="26"/>
        <v>0</v>
      </c>
      <c r="J32" s="544">
        <f t="shared" si="26"/>
        <v>0</v>
      </c>
      <c r="K32" s="544">
        <f t="shared" si="26"/>
        <v>0</v>
      </c>
      <c r="L32" s="544">
        <f t="shared" si="26"/>
        <v>325829790</v>
      </c>
      <c r="M32" s="544">
        <f t="shared" si="26"/>
        <v>325829790</v>
      </c>
      <c r="N32" s="544">
        <f t="shared" si="26"/>
        <v>0</v>
      </c>
      <c r="O32" s="568" t="s">
        <v>34</v>
      </c>
      <c r="P32" s="699"/>
    </row>
    <row r="33" spans="1:16" s="215" customFormat="1" ht="36" customHeight="1">
      <c r="A33" s="555" t="s">
        <v>32</v>
      </c>
      <c r="B33" s="71" t="s">
        <v>234</v>
      </c>
      <c r="C33" s="544">
        <f>D33+E33</f>
        <v>359000000</v>
      </c>
      <c r="D33" s="544">
        <v>349000000</v>
      </c>
      <c r="E33" s="544">
        <v>10000000</v>
      </c>
      <c r="F33" s="545">
        <f>G33+H33</f>
        <v>37320210</v>
      </c>
      <c r="G33" s="545">
        <v>27320210</v>
      </c>
      <c r="H33" s="545">
        <v>10000000</v>
      </c>
      <c r="I33" s="544"/>
      <c r="J33" s="544"/>
      <c r="K33" s="544"/>
      <c r="L33" s="544">
        <f>M33+N33</f>
        <v>321679790</v>
      </c>
      <c r="M33" s="544">
        <f t="shared" ref="M33:N35" si="27">D33-G33+J33</f>
        <v>321679790</v>
      </c>
      <c r="N33" s="544">
        <f t="shared" si="27"/>
        <v>0</v>
      </c>
      <c r="O33" s="568"/>
      <c r="P33" s="699"/>
    </row>
    <row r="34" spans="1:16" s="215" customFormat="1" ht="37.5" customHeight="1">
      <c r="A34" s="555" t="s">
        <v>32</v>
      </c>
      <c r="B34" s="71" t="s">
        <v>9</v>
      </c>
      <c r="C34" s="544">
        <f>D34+E34</f>
        <v>1702000000</v>
      </c>
      <c r="D34" s="544">
        <v>1652000000</v>
      </c>
      <c r="E34" s="544">
        <v>50000000</v>
      </c>
      <c r="F34" s="545">
        <f>G34+H34</f>
        <v>1702000000</v>
      </c>
      <c r="G34" s="545">
        <v>1652000000</v>
      </c>
      <c r="H34" s="545">
        <v>50000000</v>
      </c>
      <c r="I34" s="544"/>
      <c r="J34" s="544"/>
      <c r="K34" s="544"/>
      <c r="L34" s="544">
        <f>M34+N34</f>
        <v>0</v>
      </c>
      <c r="M34" s="544">
        <f t="shared" si="27"/>
        <v>0</v>
      </c>
      <c r="N34" s="544">
        <f t="shared" si="27"/>
        <v>0</v>
      </c>
      <c r="O34" s="568"/>
      <c r="P34" s="699"/>
    </row>
    <row r="35" spans="1:16" s="215" customFormat="1" ht="22.5" customHeight="1">
      <c r="A35" s="555" t="s">
        <v>32</v>
      </c>
      <c r="B35" s="71" t="s">
        <v>21</v>
      </c>
      <c r="C35" s="544">
        <v>1550000000</v>
      </c>
      <c r="D35" s="544">
        <v>1505000000</v>
      </c>
      <c r="E35" s="544">
        <v>45000000</v>
      </c>
      <c r="F35" s="545">
        <f>G35+H35</f>
        <v>1545850000</v>
      </c>
      <c r="G35" s="545">
        <v>1500850000</v>
      </c>
      <c r="H35" s="545">
        <v>45000000</v>
      </c>
      <c r="I35" s="544"/>
      <c r="J35" s="544"/>
      <c r="K35" s="544"/>
      <c r="L35" s="544">
        <f>M35+N35</f>
        <v>4150000</v>
      </c>
      <c r="M35" s="544">
        <f t="shared" si="27"/>
        <v>4150000</v>
      </c>
      <c r="N35" s="544">
        <f t="shared" si="27"/>
        <v>0</v>
      </c>
      <c r="O35" s="568"/>
      <c r="P35" s="699"/>
    </row>
    <row r="36" spans="1:16" s="10" customFormat="1" ht="31.5">
      <c r="A36" s="552" t="s">
        <v>29</v>
      </c>
      <c r="B36" s="553" t="s">
        <v>297</v>
      </c>
      <c r="C36" s="157">
        <f t="shared" ref="C36:H36" si="28">C37</f>
        <v>0</v>
      </c>
      <c r="D36" s="157">
        <f t="shared" si="28"/>
        <v>0</v>
      </c>
      <c r="E36" s="157">
        <f t="shared" si="28"/>
        <v>0</v>
      </c>
      <c r="F36" s="157">
        <f t="shared" si="28"/>
        <v>0</v>
      </c>
      <c r="G36" s="157">
        <f t="shared" si="28"/>
        <v>0</v>
      </c>
      <c r="H36" s="157">
        <f t="shared" si="28"/>
        <v>0</v>
      </c>
      <c r="I36" s="157">
        <f>I37</f>
        <v>3285170210</v>
      </c>
      <c r="J36" s="157">
        <f t="shared" ref="J36:N36" si="29">J37</f>
        <v>3180170210</v>
      </c>
      <c r="K36" s="157">
        <f t="shared" si="29"/>
        <v>105000000</v>
      </c>
      <c r="L36" s="157">
        <f t="shared" si="29"/>
        <v>3285170210</v>
      </c>
      <c r="M36" s="157">
        <f t="shared" si="29"/>
        <v>3180170210</v>
      </c>
      <c r="N36" s="157">
        <f t="shared" si="29"/>
        <v>105000000</v>
      </c>
      <c r="O36" s="578"/>
      <c r="P36" s="699"/>
    </row>
    <row r="37" spans="1:16" s="215" customFormat="1" ht="36.75" customHeight="1">
      <c r="A37" s="38">
        <v>1</v>
      </c>
      <c r="B37" s="71" t="s">
        <v>232</v>
      </c>
      <c r="C37" s="544">
        <f t="shared" ref="C37:H37" si="30">C38+C39+C40</f>
        <v>0</v>
      </c>
      <c r="D37" s="544">
        <f t="shared" si="30"/>
        <v>0</v>
      </c>
      <c r="E37" s="544">
        <f t="shared" si="30"/>
        <v>0</v>
      </c>
      <c r="F37" s="544">
        <f t="shared" si="30"/>
        <v>0</v>
      </c>
      <c r="G37" s="544">
        <f t="shared" si="30"/>
        <v>0</v>
      </c>
      <c r="H37" s="544">
        <f t="shared" si="30"/>
        <v>0</v>
      </c>
      <c r="I37" s="544">
        <f>I38+I39+I40</f>
        <v>3285170210</v>
      </c>
      <c r="J37" s="544">
        <f t="shared" ref="J37:N37" si="31">J38+J39+J40</f>
        <v>3180170210</v>
      </c>
      <c r="K37" s="544">
        <f t="shared" si="31"/>
        <v>105000000</v>
      </c>
      <c r="L37" s="544">
        <f t="shared" si="31"/>
        <v>3285170210</v>
      </c>
      <c r="M37" s="544">
        <f t="shared" si="31"/>
        <v>3180170210</v>
      </c>
      <c r="N37" s="544">
        <f t="shared" si="31"/>
        <v>105000000</v>
      </c>
      <c r="O37" s="568" t="s">
        <v>34</v>
      </c>
      <c r="P37" s="699"/>
    </row>
    <row r="38" spans="1:16" s="215" customFormat="1" ht="36.75" customHeight="1">
      <c r="A38" s="555" t="s">
        <v>32</v>
      </c>
      <c r="B38" s="71" t="s">
        <v>234</v>
      </c>
      <c r="C38" s="544"/>
      <c r="D38" s="544"/>
      <c r="E38" s="544"/>
      <c r="F38" s="545"/>
      <c r="G38" s="545"/>
      <c r="H38" s="545"/>
      <c r="I38" s="544">
        <f>J38+K38</f>
        <v>37320210</v>
      </c>
      <c r="J38" s="544">
        <v>27320210</v>
      </c>
      <c r="K38" s="544">
        <v>10000000</v>
      </c>
      <c r="L38" s="544">
        <f t="shared" ref="L38:N40" si="32">C38+I38+F38</f>
        <v>37320210</v>
      </c>
      <c r="M38" s="544">
        <f>D38+J38+G38</f>
        <v>27320210</v>
      </c>
      <c r="N38" s="544">
        <f>E38+K38+H38</f>
        <v>10000000</v>
      </c>
      <c r="O38" s="568"/>
      <c r="P38" s="699"/>
    </row>
    <row r="39" spans="1:16" s="215" customFormat="1" ht="34.5" customHeight="1">
      <c r="A39" s="555" t="s">
        <v>32</v>
      </c>
      <c r="B39" s="71" t="s">
        <v>9</v>
      </c>
      <c r="C39" s="544"/>
      <c r="D39" s="544"/>
      <c r="E39" s="544"/>
      <c r="F39" s="545"/>
      <c r="G39" s="545"/>
      <c r="H39" s="545"/>
      <c r="I39" s="544">
        <f t="shared" ref="I39:I40" si="33">J39+K39</f>
        <v>1702000000</v>
      </c>
      <c r="J39" s="544">
        <v>1652000000</v>
      </c>
      <c r="K39" s="544">
        <v>50000000</v>
      </c>
      <c r="L39" s="544">
        <f t="shared" si="32"/>
        <v>1702000000</v>
      </c>
      <c r="M39" s="544">
        <f t="shared" si="32"/>
        <v>1652000000</v>
      </c>
      <c r="N39" s="544">
        <f t="shared" si="32"/>
        <v>50000000</v>
      </c>
      <c r="O39" s="568"/>
      <c r="P39" s="699"/>
    </row>
    <row r="40" spans="1:16" s="215" customFormat="1" ht="25.5" customHeight="1">
      <c r="A40" s="555" t="s">
        <v>32</v>
      </c>
      <c r="B40" s="71" t="s">
        <v>21</v>
      </c>
      <c r="C40" s="544"/>
      <c r="D40" s="544"/>
      <c r="E40" s="544"/>
      <c r="F40" s="545"/>
      <c r="G40" s="545"/>
      <c r="H40" s="545"/>
      <c r="I40" s="544">
        <f t="shared" si="33"/>
        <v>1545850000</v>
      </c>
      <c r="J40" s="544">
        <v>1500850000</v>
      </c>
      <c r="K40" s="544">
        <v>45000000</v>
      </c>
      <c r="L40" s="544">
        <f t="shared" si="32"/>
        <v>1545850000</v>
      </c>
      <c r="M40" s="544">
        <f t="shared" si="32"/>
        <v>1500850000</v>
      </c>
      <c r="N40" s="544">
        <f t="shared" si="32"/>
        <v>45000000</v>
      </c>
      <c r="O40" s="568"/>
      <c r="P40" s="699"/>
    </row>
    <row r="41" spans="1:16" s="215" customFormat="1" ht="35.25" customHeight="1">
      <c r="A41" s="552" t="s">
        <v>253</v>
      </c>
      <c r="B41" s="553" t="s">
        <v>235</v>
      </c>
      <c r="C41" s="157">
        <f>C42</f>
        <v>75526000</v>
      </c>
      <c r="D41" s="157">
        <f t="shared" ref="D41:N41" si="34">D42</f>
        <v>69526000</v>
      </c>
      <c r="E41" s="157">
        <f t="shared" si="34"/>
        <v>6000000</v>
      </c>
      <c r="F41" s="554">
        <f>F42</f>
        <v>75526000</v>
      </c>
      <c r="G41" s="554">
        <f>G42</f>
        <v>69526000</v>
      </c>
      <c r="H41" s="554">
        <f>H42</f>
        <v>6000000</v>
      </c>
      <c r="I41" s="157">
        <f t="shared" si="34"/>
        <v>75526000</v>
      </c>
      <c r="J41" s="157">
        <f t="shared" si="34"/>
        <v>69526000</v>
      </c>
      <c r="K41" s="157">
        <f t="shared" si="34"/>
        <v>6000000</v>
      </c>
      <c r="L41" s="157">
        <f t="shared" si="34"/>
        <v>75526000</v>
      </c>
      <c r="M41" s="157">
        <f t="shared" si="34"/>
        <v>69526000</v>
      </c>
      <c r="N41" s="157">
        <f t="shared" si="34"/>
        <v>6000000</v>
      </c>
      <c r="O41" s="578"/>
      <c r="P41" s="421"/>
    </row>
    <row r="42" spans="1:16" s="215" customFormat="1" ht="35.25" customHeight="1">
      <c r="A42" s="556">
        <v>1</v>
      </c>
      <c r="B42" s="557" t="s">
        <v>9</v>
      </c>
      <c r="C42" s="159">
        <f>C43+C45</f>
        <v>75526000</v>
      </c>
      <c r="D42" s="159">
        <f t="shared" ref="D42:N42" si="35">D43+D45</f>
        <v>69526000</v>
      </c>
      <c r="E42" s="159">
        <f t="shared" si="35"/>
        <v>6000000</v>
      </c>
      <c r="F42" s="558">
        <f>F43+F45</f>
        <v>75526000</v>
      </c>
      <c r="G42" s="558">
        <f>G43+G45</f>
        <v>69526000</v>
      </c>
      <c r="H42" s="558">
        <f>H43+H45</f>
        <v>6000000</v>
      </c>
      <c r="I42" s="159">
        <f>I43+I45</f>
        <v>75526000</v>
      </c>
      <c r="J42" s="159">
        <f t="shared" si="35"/>
        <v>69526000</v>
      </c>
      <c r="K42" s="159">
        <f t="shared" si="35"/>
        <v>6000000</v>
      </c>
      <c r="L42" s="159">
        <f t="shared" si="35"/>
        <v>75526000</v>
      </c>
      <c r="M42" s="159">
        <f t="shared" si="35"/>
        <v>69526000</v>
      </c>
      <c r="N42" s="159">
        <f t="shared" si="35"/>
        <v>6000000</v>
      </c>
      <c r="O42" s="579"/>
      <c r="P42" s="513"/>
    </row>
    <row r="43" spans="1:16" s="215" customFormat="1" ht="34.5" customHeight="1">
      <c r="A43" s="50" t="s">
        <v>173</v>
      </c>
      <c r="B43" s="71" t="s">
        <v>298</v>
      </c>
      <c r="C43" s="417"/>
      <c r="D43" s="417"/>
      <c r="E43" s="417"/>
      <c r="F43" s="417"/>
      <c r="G43" s="417"/>
      <c r="H43" s="417"/>
      <c r="I43" s="544">
        <f>I44</f>
        <v>75526000</v>
      </c>
      <c r="J43" s="544">
        <f t="shared" ref="J43:N43" si="36">J44</f>
        <v>69526000</v>
      </c>
      <c r="K43" s="544">
        <f t="shared" si="36"/>
        <v>6000000</v>
      </c>
      <c r="L43" s="544">
        <f t="shared" si="36"/>
        <v>75526000</v>
      </c>
      <c r="M43" s="544">
        <f t="shared" si="36"/>
        <v>69526000</v>
      </c>
      <c r="N43" s="544">
        <f t="shared" si="36"/>
        <v>6000000</v>
      </c>
      <c r="O43" s="30" t="s">
        <v>299</v>
      </c>
      <c r="P43" s="698" t="s">
        <v>969</v>
      </c>
    </row>
    <row r="44" spans="1:16" s="215" customFormat="1" ht="35.25" customHeight="1">
      <c r="A44" s="555" t="s">
        <v>32</v>
      </c>
      <c r="B44" s="71" t="s">
        <v>292</v>
      </c>
      <c r="C44" s="544"/>
      <c r="D44" s="544"/>
      <c r="E44" s="544"/>
      <c r="F44" s="545"/>
      <c r="G44" s="545"/>
      <c r="H44" s="545"/>
      <c r="I44" s="544">
        <f>J44+K44</f>
        <v>75526000</v>
      </c>
      <c r="J44" s="544">
        <v>69526000</v>
      </c>
      <c r="K44" s="544">
        <v>6000000</v>
      </c>
      <c r="L44" s="544">
        <f>M44+N44</f>
        <v>75526000</v>
      </c>
      <c r="M44" s="544">
        <f t="shared" ref="M44:N44" si="37">D44+J44+G44</f>
        <v>69526000</v>
      </c>
      <c r="N44" s="544">
        <f t="shared" si="37"/>
        <v>6000000</v>
      </c>
      <c r="O44" s="568"/>
      <c r="P44" s="698"/>
    </row>
    <row r="45" spans="1:16" s="215" customFormat="1" ht="48.75" customHeight="1">
      <c r="A45" s="50" t="s">
        <v>180</v>
      </c>
      <c r="B45" s="71" t="s">
        <v>237</v>
      </c>
      <c r="C45" s="544">
        <f>C46+C47</f>
        <v>75526000</v>
      </c>
      <c r="D45" s="544">
        <v>69526000</v>
      </c>
      <c r="E45" s="544">
        <v>6000000</v>
      </c>
      <c r="F45" s="545">
        <f>F46+F47</f>
        <v>75526000</v>
      </c>
      <c r="G45" s="545">
        <f>G46+G47</f>
        <v>69526000</v>
      </c>
      <c r="H45" s="545">
        <f>H46+H47</f>
        <v>6000000</v>
      </c>
      <c r="I45" s="559">
        <f>I46+I47</f>
        <v>0</v>
      </c>
      <c r="J45" s="417"/>
      <c r="K45" s="417"/>
      <c r="L45" s="545">
        <f>L46+L47</f>
        <v>0</v>
      </c>
      <c r="M45" s="544">
        <f>M46+M47</f>
        <v>0</v>
      </c>
      <c r="N45" s="544">
        <f>N46+N47</f>
        <v>0</v>
      </c>
      <c r="O45" s="580" t="s">
        <v>238</v>
      </c>
      <c r="P45" s="698"/>
    </row>
    <row r="46" spans="1:16" s="215" customFormat="1" ht="39" customHeight="1">
      <c r="A46" s="560" t="s">
        <v>32</v>
      </c>
      <c r="B46" s="71" t="s">
        <v>239</v>
      </c>
      <c r="C46" s="544">
        <f>D46+E46</f>
        <v>24260000</v>
      </c>
      <c r="D46" s="544">
        <v>20260000</v>
      </c>
      <c r="E46" s="544">
        <v>4000000</v>
      </c>
      <c r="F46" s="545">
        <f>G46+H46</f>
        <v>24260000</v>
      </c>
      <c r="G46" s="545">
        <v>20260000</v>
      </c>
      <c r="H46" s="545">
        <v>4000000</v>
      </c>
      <c r="I46" s="544"/>
      <c r="J46" s="544"/>
      <c r="K46" s="544"/>
      <c r="L46" s="544">
        <f>M46+N46</f>
        <v>0</v>
      </c>
      <c r="M46" s="544">
        <f>D46-G46+J46</f>
        <v>0</v>
      </c>
      <c r="N46" s="544">
        <f>E46-H46+K46</f>
        <v>0</v>
      </c>
      <c r="O46" s="568"/>
      <c r="P46" s="698"/>
    </row>
    <row r="47" spans="1:16" s="215" customFormat="1" ht="34.5" customHeight="1">
      <c r="A47" s="560" t="s">
        <v>32</v>
      </c>
      <c r="B47" s="71" t="s">
        <v>240</v>
      </c>
      <c r="C47" s="544">
        <f>D47+E47</f>
        <v>51266000</v>
      </c>
      <c r="D47" s="544">
        <v>49266000</v>
      </c>
      <c r="E47" s="544">
        <v>2000000</v>
      </c>
      <c r="F47" s="545">
        <f>G47+H47</f>
        <v>51266000</v>
      </c>
      <c r="G47" s="545">
        <v>49266000</v>
      </c>
      <c r="H47" s="545">
        <v>2000000</v>
      </c>
      <c r="I47" s="544"/>
      <c r="J47" s="544"/>
      <c r="K47" s="544"/>
      <c r="L47" s="544">
        <f>M47+N47</f>
        <v>0</v>
      </c>
      <c r="M47" s="544">
        <f>D47-G47+J47</f>
        <v>0</v>
      </c>
      <c r="N47" s="544">
        <f>E47-H47+K47</f>
        <v>0</v>
      </c>
      <c r="O47" s="568"/>
      <c r="P47" s="700"/>
    </row>
    <row r="48" spans="1:16" s="215" customFormat="1" ht="27" customHeight="1">
      <c r="A48" s="550" t="s">
        <v>300</v>
      </c>
      <c r="B48" s="542" t="s">
        <v>301</v>
      </c>
      <c r="C48" s="543">
        <f>C49+C62+C79+C94+C104</f>
        <v>50471994406</v>
      </c>
      <c r="D48" s="543">
        <f t="shared" ref="D48:N48" si="38">D49+D62+D79+D94+D104</f>
        <v>49020671302</v>
      </c>
      <c r="E48" s="543">
        <f t="shared" si="38"/>
        <v>1451323104</v>
      </c>
      <c r="F48" s="543">
        <f t="shared" si="38"/>
        <v>13388803245</v>
      </c>
      <c r="G48" s="543">
        <f t="shared" si="38"/>
        <v>13068691979</v>
      </c>
      <c r="H48" s="543">
        <f t="shared" si="38"/>
        <v>320111266</v>
      </c>
      <c r="I48" s="543">
        <f t="shared" si="38"/>
        <v>13388803245</v>
      </c>
      <c r="J48" s="543">
        <f t="shared" si="38"/>
        <v>13068691979</v>
      </c>
      <c r="K48" s="543">
        <f t="shared" si="38"/>
        <v>320111266</v>
      </c>
      <c r="L48" s="543">
        <f t="shared" si="38"/>
        <v>50471994406</v>
      </c>
      <c r="M48" s="543">
        <f t="shared" si="38"/>
        <v>49020671302</v>
      </c>
      <c r="N48" s="543">
        <f t="shared" si="38"/>
        <v>1451323104</v>
      </c>
      <c r="O48" s="577"/>
      <c r="P48" s="514"/>
    </row>
    <row r="49" spans="1:16" s="504" customFormat="1" ht="24" customHeight="1">
      <c r="A49" s="552" t="s">
        <v>28</v>
      </c>
      <c r="B49" s="553" t="s">
        <v>243</v>
      </c>
      <c r="C49" s="157">
        <f>C50</f>
        <v>2870290850</v>
      </c>
      <c r="D49" s="157">
        <f t="shared" ref="D49:N49" si="39">D50</f>
        <v>2745069012</v>
      </c>
      <c r="E49" s="157">
        <f t="shared" si="39"/>
        <v>125221838</v>
      </c>
      <c r="F49" s="554">
        <f t="shared" si="39"/>
        <v>2545415824</v>
      </c>
      <c r="G49" s="554">
        <f t="shared" si="39"/>
        <v>2449415824</v>
      </c>
      <c r="H49" s="554">
        <f t="shared" si="39"/>
        <v>96000000</v>
      </c>
      <c r="I49" s="157">
        <f t="shared" si="39"/>
        <v>2545415824</v>
      </c>
      <c r="J49" s="157">
        <f t="shared" si="39"/>
        <v>2449415824</v>
      </c>
      <c r="K49" s="157">
        <f t="shared" si="39"/>
        <v>96000000</v>
      </c>
      <c r="L49" s="157">
        <f t="shared" si="39"/>
        <v>2870290850</v>
      </c>
      <c r="M49" s="157">
        <f t="shared" si="39"/>
        <v>2745069012</v>
      </c>
      <c r="N49" s="157">
        <f t="shared" si="39"/>
        <v>125221838</v>
      </c>
      <c r="O49" s="578"/>
      <c r="P49" s="515"/>
    </row>
    <row r="50" spans="1:16" s="504" customFormat="1" ht="31.5">
      <c r="A50" s="556">
        <v>1</v>
      </c>
      <c r="B50" s="557" t="s">
        <v>9</v>
      </c>
      <c r="C50" s="159">
        <f>C55+C51+C60+C52</f>
        <v>2870290850</v>
      </c>
      <c r="D50" s="159">
        <f t="shared" ref="D50:N50" si="40">D55+D51+D60+D52</f>
        <v>2745069012</v>
      </c>
      <c r="E50" s="159">
        <f t="shared" si="40"/>
        <v>125221838</v>
      </c>
      <c r="F50" s="558">
        <f t="shared" si="40"/>
        <v>2545415824</v>
      </c>
      <c r="G50" s="558">
        <f t="shared" si="40"/>
        <v>2449415824</v>
      </c>
      <c r="H50" s="558">
        <f t="shared" si="40"/>
        <v>96000000</v>
      </c>
      <c r="I50" s="159">
        <f t="shared" si="40"/>
        <v>2545415824</v>
      </c>
      <c r="J50" s="159">
        <f t="shared" si="40"/>
        <v>2449415824</v>
      </c>
      <c r="K50" s="159">
        <f t="shared" si="40"/>
        <v>96000000</v>
      </c>
      <c r="L50" s="159">
        <f t="shared" si="40"/>
        <v>2870290850</v>
      </c>
      <c r="M50" s="159">
        <f t="shared" si="40"/>
        <v>2745069012</v>
      </c>
      <c r="N50" s="159">
        <f t="shared" si="40"/>
        <v>125221838</v>
      </c>
      <c r="O50" s="579"/>
      <c r="P50" s="516"/>
    </row>
    <row r="51" spans="1:16" s="504" customFormat="1" ht="47.25">
      <c r="A51" s="38" t="s">
        <v>173</v>
      </c>
      <c r="B51" s="71" t="s">
        <v>232</v>
      </c>
      <c r="C51" s="544">
        <f>D51+E51</f>
        <v>281721625</v>
      </c>
      <c r="D51" s="544">
        <v>260098160</v>
      </c>
      <c r="E51" s="544">
        <v>21623465</v>
      </c>
      <c r="F51" s="544">
        <f>G51+H51</f>
        <v>0</v>
      </c>
      <c r="G51" s="544">
        <v>0</v>
      </c>
      <c r="H51" s="544">
        <v>0</v>
      </c>
      <c r="I51" s="544">
        <f>J51+K51</f>
        <v>778278375</v>
      </c>
      <c r="J51" s="544">
        <v>768101840</v>
      </c>
      <c r="K51" s="544">
        <v>10176535</v>
      </c>
      <c r="L51" s="544">
        <f>M51+N51</f>
        <v>1060000000</v>
      </c>
      <c r="M51" s="544">
        <f>D51-G51+J51</f>
        <v>1028200000</v>
      </c>
      <c r="N51" s="544">
        <f>E51-H51+K51</f>
        <v>31800000</v>
      </c>
      <c r="O51" s="568" t="s">
        <v>34</v>
      </c>
      <c r="P51" s="517" t="s">
        <v>291</v>
      </c>
    </row>
    <row r="52" spans="1:16" s="504" customFormat="1" ht="31.5">
      <c r="A52" s="38" t="s">
        <v>180</v>
      </c>
      <c r="B52" s="71" t="s">
        <v>206</v>
      </c>
      <c r="C52" s="544">
        <f>C53+C54</f>
        <v>343281025</v>
      </c>
      <c r="D52" s="544">
        <f t="shared" ref="D52:N52" si="41">D53+D54</f>
        <v>335682652</v>
      </c>
      <c r="E52" s="544">
        <f t="shared" si="41"/>
        <v>7598373</v>
      </c>
      <c r="F52" s="545">
        <f t="shared" si="41"/>
        <v>300127624</v>
      </c>
      <c r="G52" s="545">
        <f t="shared" si="41"/>
        <v>300127624</v>
      </c>
      <c r="H52" s="545">
        <f t="shared" si="41"/>
        <v>0</v>
      </c>
      <c r="I52" s="544">
        <f t="shared" si="41"/>
        <v>1567137449</v>
      </c>
      <c r="J52" s="544">
        <f t="shared" si="41"/>
        <v>1487313984</v>
      </c>
      <c r="K52" s="544">
        <f t="shared" si="41"/>
        <v>79823465</v>
      </c>
      <c r="L52" s="544">
        <f>L53+L54</f>
        <v>1610290850</v>
      </c>
      <c r="M52" s="544">
        <f t="shared" si="41"/>
        <v>1522869012</v>
      </c>
      <c r="N52" s="544">
        <f t="shared" si="41"/>
        <v>87421838</v>
      </c>
      <c r="O52" s="568"/>
      <c r="P52" s="518"/>
    </row>
    <row r="53" spans="1:16" s="504" customFormat="1" ht="47.25">
      <c r="A53" s="555" t="s">
        <v>32</v>
      </c>
      <c r="B53" s="71" t="s">
        <v>302</v>
      </c>
      <c r="C53" s="544">
        <f>D53+E53</f>
        <v>43153401</v>
      </c>
      <c r="D53" s="544">
        <v>35555028</v>
      </c>
      <c r="E53" s="544">
        <v>7598373</v>
      </c>
      <c r="F53" s="545">
        <f>G53+H53</f>
        <v>0</v>
      </c>
      <c r="G53" s="545">
        <v>0</v>
      </c>
      <c r="H53" s="545">
        <v>0</v>
      </c>
      <c r="I53" s="544">
        <f>J53+K53</f>
        <v>1567137449</v>
      </c>
      <c r="J53" s="544">
        <v>1487313984</v>
      </c>
      <c r="K53" s="544">
        <v>79823465</v>
      </c>
      <c r="L53" s="544">
        <f>M53+N53</f>
        <v>1610290850</v>
      </c>
      <c r="M53" s="544">
        <f>D53-G53+J53</f>
        <v>1522869012</v>
      </c>
      <c r="N53" s="544">
        <f>E53-H53+K53</f>
        <v>87421838</v>
      </c>
      <c r="O53" s="568" t="s">
        <v>34</v>
      </c>
      <c r="P53" s="517" t="s">
        <v>291</v>
      </c>
    </row>
    <row r="54" spans="1:16" s="504" customFormat="1" ht="39" customHeight="1">
      <c r="A54" s="555" t="s">
        <v>32</v>
      </c>
      <c r="B54" s="71" t="s">
        <v>244</v>
      </c>
      <c r="C54" s="544">
        <f>D54+E54</f>
        <v>300127624</v>
      </c>
      <c r="D54" s="544">
        <v>300127624</v>
      </c>
      <c r="E54" s="544"/>
      <c r="F54" s="545">
        <f>G54+H54</f>
        <v>300127624</v>
      </c>
      <c r="G54" s="545">
        <v>300127624</v>
      </c>
      <c r="H54" s="545">
        <v>0</v>
      </c>
      <c r="I54" s="544">
        <f>J54+K54</f>
        <v>0</v>
      </c>
      <c r="J54" s="544">
        <v>0</v>
      </c>
      <c r="K54" s="544">
        <v>0</v>
      </c>
      <c r="L54" s="544">
        <f>M54+N54</f>
        <v>0</v>
      </c>
      <c r="M54" s="544">
        <f>D54-G54+J54</f>
        <v>0</v>
      </c>
      <c r="N54" s="544">
        <f>E54-H54+K54</f>
        <v>0</v>
      </c>
      <c r="O54" s="568" t="s">
        <v>245</v>
      </c>
      <c r="P54" s="519" t="s">
        <v>970</v>
      </c>
    </row>
    <row r="55" spans="1:16" s="504" customFormat="1" ht="31.5">
      <c r="A55" s="38" t="s">
        <v>249</v>
      </c>
      <c r="B55" s="71" t="s">
        <v>303</v>
      </c>
      <c r="C55" s="544">
        <f>C56+C59</f>
        <v>2245288200</v>
      </c>
      <c r="D55" s="544">
        <f t="shared" ref="D55:N55" si="42">D56+D59</f>
        <v>2149288200</v>
      </c>
      <c r="E55" s="544">
        <f t="shared" si="42"/>
        <v>96000000</v>
      </c>
      <c r="F55" s="545">
        <f t="shared" si="42"/>
        <v>2245288200</v>
      </c>
      <c r="G55" s="545">
        <f t="shared" si="42"/>
        <v>2149288200</v>
      </c>
      <c r="H55" s="545">
        <f t="shared" si="42"/>
        <v>96000000</v>
      </c>
      <c r="I55" s="544">
        <f t="shared" si="42"/>
        <v>0</v>
      </c>
      <c r="J55" s="544">
        <f t="shared" si="42"/>
        <v>0</v>
      </c>
      <c r="K55" s="544">
        <f t="shared" si="42"/>
        <v>0</v>
      </c>
      <c r="L55" s="544">
        <f t="shared" si="42"/>
        <v>0</v>
      </c>
      <c r="M55" s="544">
        <f t="shared" si="42"/>
        <v>0</v>
      </c>
      <c r="N55" s="544">
        <f t="shared" si="42"/>
        <v>0</v>
      </c>
      <c r="O55" s="568"/>
      <c r="P55" s="518"/>
    </row>
    <row r="56" spans="1:16" s="504" customFormat="1" ht="53.25" customHeight="1">
      <c r="A56" s="555" t="s">
        <v>32</v>
      </c>
      <c r="B56" s="71" t="s">
        <v>247</v>
      </c>
      <c r="C56" s="544">
        <f>C58+C57</f>
        <v>2163288200</v>
      </c>
      <c r="D56" s="544">
        <f t="shared" ref="D56:N56" si="43">D58+D57</f>
        <v>2067288200</v>
      </c>
      <c r="E56" s="544">
        <f t="shared" si="43"/>
        <v>96000000</v>
      </c>
      <c r="F56" s="545">
        <f t="shared" si="43"/>
        <v>2163288200</v>
      </c>
      <c r="G56" s="545">
        <f t="shared" si="43"/>
        <v>2067288200</v>
      </c>
      <c r="H56" s="545">
        <f t="shared" si="43"/>
        <v>96000000</v>
      </c>
      <c r="I56" s="544">
        <f t="shared" si="43"/>
        <v>0</v>
      </c>
      <c r="J56" s="544">
        <f t="shared" si="43"/>
        <v>0</v>
      </c>
      <c r="K56" s="544">
        <f t="shared" si="43"/>
        <v>0</v>
      </c>
      <c r="L56" s="544">
        <f t="shared" si="43"/>
        <v>0</v>
      </c>
      <c r="M56" s="544">
        <f t="shared" si="43"/>
        <v>0</v>
      </c>
      <c r="N56" s="544">
        <f t="shared" si="43"/>
        <v>0</v>
      </c>
      <c r="O56" s="568" t="s">
        <v>248</v>
      </c>
      <c r="P56" s="518"/>
    </row>
    <row r="57" spans="1:16" s="521" customFormat="1" ht="98.25" customHeight="1">
      <c r="A57" s="561" t="s">
        <v>213</v>
      </c>
      <c r="B57" s="562" t="s">
        <v>304</v>
      </c>
      <c r="C57" s="547">
        <f>D57+E57</f>
        <v>990288200</v>
      </c>
      <c r="D57" s="547">
        <v>928288200</v>
      </c>
      <c r="E57" s="547">
        <v>62000000</v>
      </c>
      <c r="F57" s="563">
        <f>G57+H57</f>
        <v>990288200</v>
      </c>
      <c r="G57" s="563">
        <v>928288200</v>
      </c>
      <c r="H57" s="563">
        <v>62000000</v>
      </c>
      <c r="I57" s="547"/>
      <c r="J57" s="547"/>
      <c r="K57" s="547"/>
      <c r="L57" s="544">
        <f>M57+N57</f>
        <v>0</v>
      </c>
      <c r="M57" s="544">
        <f t="shared" ref="M57:N61" si="44">D57-G57+J57</f>
        <v>0</v>
      </c>
      <c r="N57" s="544">
        <f t="shared" si="44"/>
        <v>0</v>
      </c>
      <c r="O57" s="581"/>
      <c r="P57" s="520" t="s">
        <v>215</v>
      </c>
    </row>
    <row r="58" spans="1:16" s="521" customFormat="1" ht="55.5" customHeight="1">
      <c r="A58" s="561" t="s">
        <v>213</v>
      </c>
      <c r="B58" s="562" t="s">
        <v>305</v>
      </c>
      <c r="C58" s="547">
        <f>D58+E58</f>
        <v>1173000000</v>
      </c>
      <c r="D58" s="547">
        <v>1139000000</v>
      </c>
      <c r="E58" s="547">
        <v>34000000</v>
      </c>
      <c r="F58" s="563">
        <f>G58+H58</f>
        <v>1173000000</v>
      </c>
      <c r="G58" s="563">
        <v>1139000000</v>
      </c>
      <c r="H58" s="563">
        <v>34000000</v>
      </c>
      <c r="I58" s="547"/>
      <c r="J58" s="547"/>
      <c r="K58" s="547"/>
      <c r="L58" s="544">
        <f>M58+N58</f>
        <v>0</v>
      </c>
      <c r="M58" s="544">
        <f t="shared" si="44"/>
        <v>0</v>
      </c>
      <c r="N58" s="544">
        <f t="shared" si="44"/>
        <v>0</v>
      </c>
      <c r="O58" s="581"/>
      <c r="P58" s="522" t="s">
        <v>217</v>
      </c>
    </row>
    <row r="59" spans="1:16" s="504" customFormat="1" ht="47.25">
      <c r="A59" s="555" t="s">
        <v>32</v>
      </c>
      <c r="B59" s="71" t="s">
        <v>220</v>
      </c>
      <c r="C59" s="544">
        <f>D59+E59</f>
        <v>82000000</v>
      </c>
      <c r="D59" s="544">
        <v>82000000</v>
      </c>
      <c r="E59" s="544"/>
      <c r="F59" s="545">
        <f>G59+H59</f>
        <v>82000000</v>
      </c>
      <c r="G59" s="545">
        <v>82000000</v>
      </c>
      <c r="H59" s="545"/>
      <c r="I59" s="544"/>
      <c r="J59" s="544"/>
      <c r="K59" s="544"/>
      <c r="L59" s="544">
        <f>M59+N59</f>
        <v>0</v>
      </c>
      <c r="M59" s="544">
        <f t="shared" si="44"/>
        <v>0</v>
      </c>
      <c r="N59" s="544">
        <f t="shared" si="44"/>
        <v>0</v>
      </c>
      <c r="O59" s="568" t="s">
        <v>34</v>
      </c>
      <c r="P59" s="518" t="s">
        <v>250</v>
      </c>
    </row>
    <row r="60" spans="1:16" s="504" customFormat="1" ht="31.5">
      <c r="A60" s="38" t="s">
        <v>257</v>
      </c>
      <c r="B60" s="71" t="s">
        <v>237</v>
      </c>
      <c r="C60" s="544">
        <f>C61</f>
        <v>0</v>
      </c>
      <c r="D60" s="544">
        <f t="shared" ref="D60:E60" si="45">D61</f>
        <v>0</v>
      </c>
      <c r="E60" s="544">
        <f t="shared" si="45"/>
        <v>0</v>
      </c>
      <c r="F60" s="544">
        <f>F61</f>
        <v>0</v>
      </c>
      <c r="G60" s="544">
        <f>G61</f>
        <v>0</v>
      </c>
      <c r="H60" s="544">
        <f>H61</f>
        <v>0</v>
      </c>
      <c r="I60" s="544">
        <f t="shared" ref="I60:K60" si="46">I61</f>
        <v>200000000</v>
      </c>
      <c r="J60" s="544">
        <f t="shared" si="46"/>
        <v>194000000</v>
      </c>
      <c r="K60" s="544">
        <f t="shared" si="46"/>
        <v>6000000</v>
      </c>
      <c r="L60" s="544">
        <f>+M60+N60</f>
        <v>200000000</v>
      </c>
      <c r="M60" s="544">
        <f t="shared" si="44"/>
        <v>194000000</v>
      </c>
      <c r="N60" s="544">
        <f t="shared" si="44"/>
        <v>6000000</v>
      </c>
      <c r="O60" s="568"/>
      <c r="P60" s="518"/>
    </row>
    <row r="61" spans="1:16" s="504" customFormat="1" ht="47.25">
      <c r="A61" s="38" t="s">
        <v>306</v>
      </c>
      <c r="B61" s="71" t="s">
        <v>307</v>
      </c>
      <c r="C61" s="544">
        <f>D61+E61</f>
        <v>0</v>
      </c>
      <c r="D61" s="544">
        <v>0</v>
      </c>
      <c r="E61" s="544">
        <v>0</v>
      </c>
      <c r="F61" s="544">
        <f>G61+H61</f>
        <v>0</v>
      </c>
      <c r="G61" s="544">
        <v>0</v>
      </c>
      <c r="H61" s="544">
        <v>0</v>
      </c>
      <c r="I61" s="544">
        <f>J61+K61</f>
        <v>200000000</v>
      </c>
      <c r="J61" s="544">
        <v>194000000</v>
      </c>
      <c r="K61" s="544">
        <v>6000000</v>
      </c>
      <c r="L61" s="544">
        <f>M61+N61</f>
        <v>200000000</v>
      </c>
      <c r="M61" s="544">
        <f t="shared" si="44"/>
        <v>194000000</v>
      </c>
      <c r="N61" s="544">
        <f t="shared" si="44"/>
        <v>6000000</v>
      </c>
      <c r="O61" s="568" t="s">
        <v>238</v>
      </c>
      <c r="P61" s="517" t="s">
        <v>308</v>
      </c>
    </row>
    <row r="62" spans="1:16" s="504" customFormat="1" ht="20.25" customHeight="1">
      <c r="A62" s="552" t="s">
        <v>29</v>
      </c>
      <c r="B62" s="553" t="s">
        <v>251</v>
      </c>
      <c r="C62" s="157">
        <f>C63+C68</f>
        <v>4982000000</v>
      </c>
      <c r="D62" s="157">
        <f t="shared" ref="D62:N62" si="47">D63+D68</f>
        <v>4838000000</v>
      </c>
      <c r="E62" s="157">
        <f t="shared" si="47"/>
        <v>144000000</v>
      </c>
      <c r="F62" s="554">
        <f t="shared" si="47"/>
        <v>3568000000</v>
      </c>
      <c r="G62" s="554">
        <f t="shared" si="47"/>
        <v>3464000000</v>
      </c>
      <c r="H62" s="554">
        <f t="shared" si="47"/>
        <v>104000000</v>
      </c>
      <c r="I62" s="157">
        <f t="shared" si="47"/>
        <v>3568000000</v>
      </c>
      <c r="J62" s="157">
        <f t="shared" si="47"/>
        <v>3464000000</v>
      </c>
      <c r="K62" s="157">
        <f t="shared" si="47"/>
        <v>104000000</v>
      </c>
      <c r="L62" s="157">
        <f t="shared" si="47"/>
        <v>4982000000</v>
      </c>
      <c r="M62" s="157">
        <f t="shared" si="47"/>
        <v>4838000000</v>
      </c>
      <c r="N62" s="157">
        <f t="shared" si="47"/>
        <v>144000000</v>
      </c>
      <c r="O62" s="578"/>
      <c r="P62" s="523"/>
    </row>
    <row r="63" spans="1:16" s="504" customFormat="1" ht="31.5">
      <c r="A63" s="556">
        <v>1</v>
      </c>
      <c r="B63" s="557" t="s">
        <v>9</v>
      </c>
      <c r="C63" s="558">
        <f>C64</f>
        <v>3568000000</v>
      </c>
      <c r="D63" s="558">
        <f t="shared" ref="D63:N64" si="48">D64</f>
        <v>3464000000</v>
      </c>
      <c r="E63" s="558">
        <f t="shared" si="48"/>
        <v>104000000</v>
      </c>
      <c r="F63" s="558">
        <f t="shared" si="48"/>
        <v>3568000000</v>
      </c>
      <c r="G63" s="558">
        <f t="shared" si="48"/>
        <v>3464000000</v>
      </c>
      <c r="H63" s="558">
        <f t="shared" si="48"/>
        <v>104000000</v>
      </c>
      <c r="I63" s="558">
        <f t="shared" si="48"/>
        <v>0</v>
      </c>
      <c r="J63" s="558">
        <f t="shared" si="48"/>
        <v>0</v>
      </c>
      <c r="K63" s="558">
        <f t="shared" si="48"/>
        <v>0</v>
      </c>
      <c r="L63" s="558">
        <f t="shared" si="48"/>
        <v>0</v>
      </c>
      <c r="M63" s="558">
        <f t="shared" si="48"/>
        <v>0</v>
      </c>
      <c r="N63" s="558">
        <f t="shared" si="48"/>
        <v>0</v>
      </c>
      <c r="O63" s="579"/>
      <c r="P63" s="524"/>
    </row>
    <row r="64" spans="1:16" s="504" customFormat="1" ht="31.5">
      <c r="A64" s="50" t="s">
        <v>173</v>
      </c>
      <c r="B64" s="71" t="s">
        <v>303</v>
      </c>
      <c r="C64" s="544">
        <f>C65</f>
        <v>3568000000</v>
      </c>
      <c r="D64" s="544">
        <f t="shared" si="48"/>
        <v>3464000000</v>
      </c>
      <c r="E64" s="544">
        <f t="shared" si="48"/>
        <v>104000000</v>
      </c>
      <c r="F64" s="544">
        <f t="shared" si="48"/>
        <v>3568000000</v>
      </c>
      <c r="G64" s="544">
        <f t="shared" si="48"/>
        <v>3464000000</v>
      </c>
      <c r="H64" s="544">
        <f t="shared" si="48"/>
        <v>104000000</v>
      </c>
      <c r="I64" s="544">
        <f t="shared" si="48"/>
        <v>0</v>
      </c>
      <c r="J64" s="544">
        <f t="shared" si="48"/>
        <v>0</v>
      </c>
      <c r="K64" s="544">
        <f t="shared" si="48"/>
        <v>0</v>
      </c>
      <c r="L64" s="544">
        <f t="shared" si="48"/>
        <v>0</v>
      </c>
      <c r="M64" s="544">
        <f t="shared" si="48"/>
        <v>0</v>
      </c>
      <c r="N64" s="544">
        <f t="shared" si="48"/>
        <v>0</v>
      </c>
      <c r="O64" s="30"/>
      <c r="P64" s="525"/>
    </row>
    <row r="65" spans="1:16" s="504" customFormat="1" ht="47.25">
      <c r="A65" s="38" t="s">
        <v>32</v>
      </c>
      <c r="B65" s="71" t="s">
        <v>212</v>
      </c>
      <c r="C65" s="544">
        <f>C66+C67</f>
        <v>3568000000</v>
      </c>
      <c r="D65" s="544">
        <f t="shared" ref="D65:N65" si="49">D66+D67</f>
        <v>3464000000</v>
      </c>
      <c r="E65" s="544">
        <f t="shared" si="49"/>
        <v>104000000</v>
      </c>
      <c r="F65" s="544">
        <f t="shared" si="49"/>
        <v>3568000000</v>
      </c>
      <c r="G65" s="544">
        <f t="shared" si="49"/>
        <v>3464000000</v>
      </c>
      <c r="H65" s="544">
        <f t="shared" si="49"/>
        <v>104000000</v>
      </c>
      <c r="I65" s="544">
        <f t="shared" si="49"/>
        <v>0</v>
      </c>
      <c r="J65" s="544">
        <f t="shared" si="49"/>
        <v>0</v>
      </c>
      <c r="K65" s="544">
        <f t="shared" si="49"/>
        <v>0</v>
      </c>
      <c r="L65" s="544">
        <f t="shared" si="49"/>
        <v>0</v>
      </c>
      <c r="M65" s="544">
        <f t="shared" si="49"/>
        <v>0</v>
      </c>
      <c r="N65" s="544">
        <f t="shared" si="49"/>
        <v>0</v>
      </c>
      <c r="O65" s="568" t="s">
        <v>238</v>
      </c>
      <c r="P65" s="518"/>
    </row>
    <row r="66" spans="1:16" s="521" customFormat="1" ht="94.5">
      <c r="A66" s="564" t="s">
        <v>213</v>
      </c>
      <c r="B66" s="562" t="s">
        <v>214</v>
      </c>
      <c r="C66" s="547">
        <f>D66+E66</f>
        <v>2194000000</v>
      </c>
      <c r="D66" s="547">
        <v>2130000000</v>
      </c>
      <c r="E66" s="547">
        <v>64000000</v>
      </c>
      <c r="F66" s="563">
        <f>G66+H66</f>
        <v>2194000000</v>
      </c>
      <c r="G66" s="563">
        <v>2130000000</v>
      </c>
      <c r="H66" s="563">
        <v>64000000</v>
      </c>
      <c r="I66" s="547"/>
      <c r="J66" s="547"/>
      <c r="K66" s="547"/>
      <c r="L66" s="547">
        <f>M66+N66</f>
        <v>0</v>
      </c>
      <c r="M66" s="547">
        <f>D66-G66+J66</f>
        <v>0</v>
      </c>
      <c r="N66" s="547">
        <f>E66-H66+K66</f>
        <v>0</v>
      </c>
      <c r="O66" s="581"/>
      <c r="P66" s="522" t="s">
        <v>274</v>
      </c>
    </row>
    <row r="67" spans="1:16" s="504" customFormat="1" ht="54.75" customHeight="1">
      <c r="A67" s="565" t="s">
        <v>309</v>
      </c>
      <c r="B67" s="134" t="s">
        <v>216</v>
      </c>
      <c r="C67" s="544">
        <f>D67+E67</f>
        <v>1374000000</v>
      </c>
      <c r="D67" s="544">
        <v>1334000000</v>
      </c>
      <c r="E67" s="544">
        <v>40000000</v>
      </c>
      <c r="F67" s="545">
        <f>G67+H67</f>
        <v>1374000000</v>
      </c>
      <c r="G67" s="545">
        <v>1334000000</v>
      </c>
      <c r="H67" s="545">
        <v>40000000</v>
      </c>
      <c r="I67" s="544"/>
      <c r="J67" s="544"/>
      <c r="K67" s="544"/>
      <c r="L67" s="544">
        <f>M67+N67</f>
        <v>0</v>
      </c>
      <c r="M67" s="544">
        <f>D67-G67+J67</f>
        <v>0</v>
      </c>
      <c r="N67" s="544">
        <f>E67-H67+K67</f>
        <v>0</v>
      </c>
      <c r="O67" s="30"/>
      <c r="P67" s="522" t="s">
        <v>217</v>
      </c>
    </row>
    <row r="68" spans="1:16" s="504" customFormat="1" ht="19.5" customHeight="1">
      <c r="A68" s="556">
        <v>2</v>
      </c>
      <c r="B68" s="557" t="s">
        <v>21</v>
      </c>
      <c r="C68" s="558">
        <f>C69+C70+C73+C76</f>
        <v>1414000000</v>
      </c>
      <c r="D68" s="558">
        <f t="shared" ref="D68:N68" si="50">D69+D70+D73+D76</f>
        <v>1374000000</v>
      </c>
      <c r="E68" s="558">
        <f t="shared" si="50"/>
        <v>40000000</v>
      </c>
      <c r="F68" s="558">
        <f t="shared" si="50"/>
        <v>0</v>
      </c>
      <c r="G68" s="558">
        <f t="shared" si="50"/>
        <v>0</v>
      </c>
      <c r="H68" s="558">
        <f t="shared" si="50"/>
        <v>0</v>
      </c>
      <c r="I68" s="558">
        <f t="shared" si="50"/>
        <v>3568000000</v>
      </c>
      <c r="J68" s="558">
        <f t="shared" si="50"/>
        <v>3464000000</v>
      </c>
      <c r="K68" s="558">
        <f t="shared" si="50"/>
        <v>104000000</v>
      </c>
      <c r="L68" s="558">
        <f t="shared" si="50"/>
        <v>4982000000</v>
      </c>
      <c r="M68" s="558">
        <f t="shared" si="50"/>
        <v>4838000000</v>
      </c>
      <c r="N68" s="558">
        <f t="shared" si="50"/>
        <v>144000000</v>
      </c>
      <c r="O68" s="579"/>
      <c r="P68" s="524"/>
    </row>
    <row r="69" spans="1:16" s="504" customFormat="1" ht="47.25">
      <c r="A69" s="38" t="s">
        <v>269</v>
      </c>
      <c r="B69" s="71" t="s">
        <v>264</v>
      </c>
      <c r="C69" s="544">
        <f>D69+E69</f>
        <v>301000000</v>
      </c>
      <c r="D69" s="544">
        <v>292000000</v>
      </c>
      <c r="E69" s="544">
        <v>9000000</v>
      </c>
      <c r="F69" s="545">
        <f>G69+H69</f>
        <v>0</v>
      </c>
      <c r="G69" s="545"/>
      <c r="H69" s="545"/>
      <c r="I69" s="544">
        <f>J69+K69</f>
        <v>307669055</v>
      </c>
      <c r="J69" s="544">
        <v>307669055</v>
      </c>
      <c r="K69" s="544">
        <v>0</v>
      </c>
      <c r="L69" s="544">
        <f>C69+I69+F69</f>
        <v>608669055</v>
      </c>
      <c r="M69" s="544">
        <f t="shared" ref="M69:N72" si="51">D69-G69+J69</f>
        <v>599669055</v>
      </c>
      <c r="N69" s="544">
        <f t="shared" si="51"/>
        <v>9000000</v>
      </c>
      <c r="O69" s="568" t="s">
        <v>34</v>
      </c>
      <c r="P69" s="517" t="s">
        <v>291</v>
      </c>
    </row>
    <row r="70" spans="1:16" s="504" customFormat="1" ht="31.5">
      <c r="A70" s="38" t="s">
        <v>270</v>
      </c>
      <c r="B70" s="71" t="s">
        <v>206</v>
      </c>
      <c r="C70" s="544">
        <f>C71+C72</f>
        <v>358000000</v>
      </c>
      <c r="D70" s="544">
        <f t="shared" ref="D70:L70" si="52">D71+D72</f>
        <v>348000000</v>
      </c>
      <c r="E70" s="544">
        <f t="shared" si="52"/>
        <v>10000000</v>
      </c>
      <c r="F70" s="544">
        <f t="shared" si="52"/>
        <v>0</v>
      </c>
      <c r="G70" s="544">
        <f t="shared" si="52"/>
        <v>0</v>
      </c>
      <c r="H70" s="544">
        <f t="shared" si="52"/>
        <v>0</v>
      </c>
      <c r="I70" s="544">
        <f t="shared" si="52"/>
        <v>2619008200</v>
      </c>
      <c r="J70" s="544">
        <f t="shared" si="52"/>
        <v>2521558200</v>
      </c>
      <c r="K70" s="544">
        <f t="shared" si="52"/>
        <v>97450000</v>
      </c>
      <c r="L70" s="544">
        <f t="shared" si="52"/>
        <v>2977008200</v>
      </c>
      <c r="M70" s="544">
        <f t="shared" si="51"/>
        <v>2869558200</v>
      </c>
      <c r="N70" s="544">
        <f t="shared" si="51"/>
        <v>107450000</v>
      </c>
      <c r="O70" s="568"/>
      <c r="P70" s="518"/>
    </row>
    <row r="71" spans="1:16" s="504" customFormat="1" ht="47.25">
      <c r="A71" s="555" t="s">
        <v>32</v>
      </c>
      <c r="B71" s="71" t="s">
        <v>302</v>
      </c>
      <c r="C71" s="544">
        <f>D71+E71</f>
        <v>0</v>
      </c>
      <c r="D71" s="544">
        <v>0</v>
      </c>
      <c r="E71" s="544">
        <v>0</v>
      </c>
      <c r="F71" s="545">
        <f>G71+H71</f>
        <v>0</v>
      </c>
      <c r="G71" s="545"/>
      <c r="H71" s="545"/>
      <c r="I71" s="544">
        <f>J71+K71</f>
        <v>2539008200</v>
      </c>
      <c r="J71" s="544">
        <v>2441558200</v>
      </c>
      <c r="K71" s="544">
        <v>97450000</v>
      </c>
      <c r="L71" s="544">
        <f t="shared" ref="L71:L72" si="53">C71+I71+F71</f>
        <v>2539008200</v>
      </c>
      <c r="M71" s="544">
        <f t="shared" si="51"/>
        <v>2441558200</v>
      </c>
      <c r="N71" s="544">
        <f t="shared" si="51"/>
        <v>97450000</v>
      </c>
      <c r="O71" s="568" t="s">
        <v>34</v>
      </c>
      <c r="P71" s="526" t="s">
        <v>291</v>
      </c>
    </row>
    <row r="72" spans="1:16" s="504" customFormat="1" ht="40.5" customHeight="1">
      <c r="A72" s="555" t="s">
        <v>32</v>
      </c>
      <c r="B72" s="71" t="s">
        <v>244</v>
      </c>
      <c r="C72" s="544">
        <f>D72+E72</f>
        <v>358000000</v>
      </c>
      <c r="D72" s="544">
        <v>348000000</v>
      </c>
      <c r="E72" s="544">
        <v>10000000</v>
      </c>
      <c r="F72" s="545">
        <f>G72+H72</f>
        <v>0</v>
      </c>
      <c r="G72" s="545"/>
      <c r="H72" s="545"/>
      <c r="I72" s="544">
        <f>J72+K72</f>
        <v>80000000</v>
      </c>
      <c r="J72" s="544">
        <v>80000000</v>
      </c>
      <c r="K72" s="544">
        <v>0</v>
      </c>
      <c r="L72" s="544">
        <f t="shared" si="53"/>
        <v>438000000</v>
      </c>
      <c r="M72" s="544">
        <f t="shared" si="51"/>
        <v>428000000</v>
      </c>
      <c r="N72" s="544">
        <f t="shared" si="51"/>
        <v>10000000</v>
      </c>
      <c r="O72" s="568" t="s">
        <v>245</v>
      </c>
      <c r="P72" s="527" t="s">
        <v>310</v>
      </c>
    </row>
    <row r="73" spans="1:16" s="504" customFormat="1" ht="37.5" customHeight="1">
      <c r="A73" s="50" t="s">
        <v>273</v>
      </c>
      <c r="B73" s="71" t="s">
        <v>298</v>
      </c>
      <c r="C73" s="544">
        <f>C74+C75</f>
        <v>260000000</v>
      </c>
      <c r="D73" s="544">
        <f t="shared" ref="D73:N73" si="54">D74+D75</f>
        <v>253000000</v>
      </c>
      <c r="E73" s="544">
        <f t="shared" si="54"/>
        <v>7000000</v>
      </c>
      <c r="F73" s="544">
        <f t="shared" si="54"/>
        <v>0</v>
      </c>
      <c r="G73" s="544">
        <f t="shared" si="54"/>
        <v>0</v>
      </c>
      <c r="H73" s="544">
        <f t="shared" si="54"/>
        <v>0</v>
      </c>
      <c r="I73" s="544">
        <f t="shared" si="54"/>
        <v>180000000</v>
      </c>
      <c r="J73" s="544">
        <f t="shared" si="54"/>
        <v>180000000</v>
      </c>
      <c r="K73" s="544">
        <f t="shared" si="54"/>
        <v>0</v>
      </c>
      <c r="L73" s="544">
        <f t="shared" si="54"/>
        <v>440000000</v>
      </c>
      <c r="M73" s="544">
        <f t="shared" si="54"/>
        <v>433000000</v>
      </c>
      <c r="N73" s="544">
        <f t="shared" si="54"/>
        <v>7000000</v>
      </c>
      <c r="O73" s="30"/>
      <c r="P73" s="525"/>
    </row>
    <row r="74" spans="1:16" s="504" customFormat="1" ht="37.5" customHeight="1">
      <c r="A74" s="38" t="s">
        <v>32</v>
      </c>
      <c r="B74" s="71" t="s">
        <v>292</v>
      </c>
      <c r="C74" s="544">
        <f>D74+E74</f>
        <v>141000000</v>
      </c>
      <c r="D74" s="544">
        <v>137000000</v>
      </c>
      <c r="E74" s="544">
        <v>4000000</v>
      </c>
      <c r="F74" s="544">
        <f>G74+H74</f>
        <v>0</v>
      </c>
      <c r="G74" s="544">
        <v>0</v>
      </c>
      <c r="H74" s="544">
        <v>0</v>
      </c>
      <c r="I74" s="544">
        <f>J74+K74</f>
        <v>80000000</v>
      </c>
      <c r="J74" s="544">
        <v>80000000</v>
      </c>
      <c r="K74" s="544">
        <v>0</v>
      </c>
      <c r="L74" s="544">
        <f>M74+N74</f>
        <v>221000000</v>
      </c>
      <c r="M74" s="544">
        <f>D74-G74+J74</f>
        <v>217000000</v>
      </c>
      <c r="N74" s="544">
        <f>E74-H74+K74</f>
        <v>4000000</v>
      </c>
      <c r="O74" s="568" t="s">
        <v>299</v>
      </c>
      <c r="P74" s="701" t="s">
        <v>971</v>
      </c>
    </row>
    <row r="75" spans="1:16" s="504" customFormat="1" ht="39.75" customHeight="1">
      <c r="A75" s="38" t="s">
        <v>32</v>
      </c>
      <c r="B75" s="71" t="s">
        <v>311</v>
      </c>
      <c r="C75" s="544">
        <f>D75+E75</f>
        <v>119000000</v>
      </c>
      <c r="D75" s="544">
        <v>116000000</v>
      </c>
      <c r="E75" s="544">
        <v>3000000</v>
      </c>
      <c r="F75" s="544">
        <f>G75+H75</f>
        <v>0</v>
      </c>
      <c r="G75" s="544">
        <v>0</v>
      </c>
      <c r="H75" s="544">
        <v>0</v>
      </c>
      <c r="I75" s="544">
        <f>J75+K75</f>
        <v>100000000</v>
      </c>
      <c r="J75" s="544">
        <v>100000000</v>
      </c>
      <c r="K75" s="544">
        <v>0</v>
      </c>
      <c r="L75" s="544">
        <f>M75+N75</f>
        <v>219000000</v>
      </c>
      <c r="M75" s="544">
        <f>D75-G75+J75</f>
        <v>216000000</v>
      </c>
      <c r="N75" s="544">
        <f>E75-H75+K75</f>
        <v>3000000</v>
      </c>
      <c r="O75" s="568" t="s">
        <v>299</v>
      </c>
      <c r="P75" s="701"/>
    </row>
    <row r="76" spans="1:16" s="504" customFormat="1" ht="50.25" customHeight="1">
      <c r="A76" s="50" t="s">
        <v>312</v>
      </c>
      <c r="B76" s="71" t="s">
        <v>237</v>
      </c>
      <c r="C76" s="544">
        <f>C77+C78</f>
        <v>495000000</v>
      </c>
      <c r="D76" s="544">
        <f t="shared" ref="D76:N76" si="55">D77+D78</f>
        <v>481000000</v>
      </c>
      <c r="E76" s="544">
        <f t="shared" si="55"/>
        <v>14000000</v>
      </c>
      <c r="F76" s="544">
        <f t="shared" si="55"/>
        <v>0</v>
      </c>
      <c r="G76" s="544">
        <f t="shared" si="55"/>
        <v>0</v>
      </c>
      <c r="H76" s="544">
        <f t="shared" si="55"/>
        <v>0</v>
      </c>
      <c r="I76" s="544">
        <f t="shared" si="55"/>
        <v>461322745</v>
      </c>
      <c r="J76" s="544">
        <f t="shared" si="55"/>
        <v>454772745</v>
      </c>
      <c r="K76" s="544">
        <f t="shared" si="55"/>
        <v>6550000</v>
      </c>
      <c r="L76" s="544">
        <f t="shared" si="55"/>
        <v>956322745</v>
      </c>
      <c r="M76" s="544">
        <f t="shared" si="55"/>
        <v>935772745</v>
      </c>
      <c r="N76" s="544">
        <f t="shared" si="55"/>
        <v>20550000</v>
      </c>
      <c r="O76" s="30"/>
      <c r="P76" s="525"/>
    </row>
    <row r="77" spans="1:16" s="504" customFormat="1" ht="41.25" customHeight="1">
      <c r="A77" s="38" t="s">
        <v>32</v>
      </c>
      <c r="B77" s="71" t="s">
        <v>239</v>
      </c>
      <c r="C77" s="544">
        <f>D77+E77</f>
        <v>280000000</v>
      </c>
      <c r="D77" s="544">
        <v>272000000</v>
      </c>
      <c r="E77" s="544">
        <v>8000000</v>
      </c>
      <c r="F77" s="544">
        <f>G77+H77</f>
        <v>0</v>
      </c>
      <c r="G77" s="544">
        <v>0</v>
      </c>
      <c r="H77" s="544">
        <v>0</v>
      </c>
      <c r="I77" s="544">
        <f>J77+K77</f>
        <v>324778300</v>
      </c>
      <c r="J77" s="544">
        <v>324778300</v>
      </c>
      <c r="K77" s="544">
        <v>0</v>
      </c>
      <c r="L77" s="544">
        <f>M77+N77</f>
        <v>604778300</v>
      </c>
      <c r="M77" s="544">
        <f>D77-G77+J77</f>
        <v>596778300</v>
      </c>
      <c r="N77" s="544">
        <f>E77-H77+K77</f>
        <v>8000000</v>
      </c>
      <c r="O77" s="568" t="s">
        <v>238</v>
      </c>
      <c r="P77" s="701" t="s">
        <v>313</v>
      </c>
    </row>
    <row r="78" spans="1:16" s="504" customFormat="1" ht="38.25" customHeight="1">
      <c r="A78" s="38" t="s">
        <v>32</v>
      </c>
      <c r="B78" s="71" t="s">
        <v>240</v>
      </c>
      <c r="C78" s="544">
        <f>D78+E78</f>
        <v>215000000</v>
      </c>
      <c r="D78" s="544">
        <v>209000000</v>
      </c>
      <c r="E78" s="544">
        <v>6000000</v>
      </c>
      <c r="F78" s="544">
        <f>G78+H78</f>
        <v>0</v>
      </c>
      <c r="G78" s="544">
        <v>0</v>
      </c>
      <c r="H78" s="544">
        <v>0</v>
      </c>
      <c r="I78" s="544">
        <f>J78+K78</f>
        <v>136544445</v>
      </c>
      <c r="J78" s="544">
        <v>129994445</v>
      </c>
      <c r="K78" s="544">
        <v>6550000</v>
      </c>
      <c r="L78" s="544">
        <f>M78+N78</f>
        <v>351544445</v>
      </c>
      <c r="M78" s="544">
        <f>D78-G78+J78</f>
        <v>338994445</v>
      </c>
      <c r="N78" s="544">
        <f>E78-H78+K78</f>
        <v>12550000</v>
      </c>
      <c r="O78" s="568" t="s">
        <v>238</v>
      </c>
      <c r="P78" s="711"/>
    </row>
    <row r="79" spans="1:16" s="505" customFormat="1" ht="20.25" customHeight="1">
      <c r="A79" s="552" t="s">
        <v>253</v>
      </c>
      <c r="B79" s="553" t="s">
        <v>254</v>
      </c>
      <c r="C79" s="157">
        <f>C80+C92</f>
        <v>7643770230</v>
      </c>
      <c r="D79" s="157">
        <f t="shared" ref="D79:N79" si="56">D80+D92</f>
        <v>7415318634</v>
      </c>
      <c r="E79" s="157">
        <f t="shared" si="56"/>
        <v>228451596</v>
      </c>
      <c r="F79" s="554">
        <f>F80+F92</f>
        <v>288934494</v>
      </c>
      <c r="G79" s="554">
        <f>G80+G92</f>
        <v>236242898</v>
      </c>
      <c r="H79" s="554">
        <f t="shared" si="56"/>
        <v>52691596</v>
      </c>
      <c r="I79" s="157">
        <f t="shared" si="56"/>
        <v>288934494</v>
      </c>
      <c r="J79" s="157">
        <f t="shared" si="56"/>
        <v>236242898</v>
      </c>
      <c r="K79" s="157">
        <f t="shared" si="56"/>
        <v>52691596</v>
      </c>
      <c r="L79" s="157">
        <f t="shared" si="56"/>
        <v>7643770230</v>
      </c>
      <c r="M79" s="157">
        <f t="shared" si="56"/>
        <v>7415318634</v>
      </c>
      <c r="N79" s="157">
        <f t="shared" si="56"/>
        <v>228451596</v>
      </c>
      <c r="O79" s="578"/>
      <c r="P79" s="515"/>
    </row>
    <row r="80" spans="1:16" s="528" customFormat="1" ht="36" customHeight="1">
      <c r="A80" s="556">
        <v>1</v>
      </c>
      <c r="B80" s="557" t="s">
        <v>9</v>
      </c>
      <c r="C80" s="159">
        <f>C81+C82+C84+C87+C89</f>
        <v>1614100494</v>
      </c>
      <c r="D80" s="159">
        <f t="shared" ref="D80:N80" si="57">D81+D82+D84+D87+D89</f>
        <v>1561408898</v>
      </c>
      <c r="E80" s="159">
        <f t="shared" si="57"/>
        <v>52691596</v>
      </c>
      <c r="F80" s="558">
        <f t="shared" si="57"/>
        <v>288934494</v>
      </c>
      <c r="G80" s="558">
        <f t="shared" si="57"/>
        <v>236242898</v>
      </c>
      <c r="H80" s="558">
        <f t="shared" si="57"/>
        <v>52691596</v>
      </c>
      <c r="I80" s="159">
        <f t="shared" si="57"/>
        <v>248834000</v>
      </c>
      <c r="J80" s="159">
        <f t="shared" si="57"/>
        <v>202834000</v>
      </c>
      <c r="K80" s="159">
        <f t="shared" si="57"/>
        <v>46000000</v>
      </c>
      <c r="L80" s="159">
        <f t="shared" si="57"/>
        <v>1574000000</v>
      </c>
      <c r="M80" s="159">
        <f t="shared" si="57"/>
        <v>1528000000</v>
      </c>
      <c r="N80" s="159">
        <f t="shared" si="57"/>
        <v>46000000</v>
      </c>
      <c r="O80" s="579"/>
      <c r="P80" s="516"/>
    </row>
    <row r="81" spans="1:16" s="504" customFormat="1" ht="36.75" customHeight="1">
      <c r="A81" s="38" t="s">
        <v>173</v>
      </c>
      <c r="B81" s="71" t="s">
        <v>264</v>
      </c>
      <c r="C81" s="544">
        <f>D81+E81</f>
        <v>39330484</v>
      </c>
      <c r="D81" s="544">
        <v>32638888</v>
      </c>
      <c r="E81" s="544">
        <v>6691596</v>
      </c>
      <c r="F81" s="545">
        <f>G81+H81</f>
        <v>39330484</v>
      </c>
      <c r="G81" s="545">
        <v>32638888</v>
      </c>
      <c r="H81" s="545">
        <v>6691596</v>
      </c>
      <c r="I81" s="544">
        <f>J81+K81</f>
        <v>0</v>
      </c>
      <c r="J81" s="544">
        <v>0</v>
      </c>
      <c r="K81" s="544"/>
      <c r="L81" s="544">
        <f>M81+N81</f>
        <v>0</v>
      </c>
      <c r="M81" s="544">
        <f>D81-G81+J81</f>
        <v>0</v>
      </c>
      <c r="N81" s="544">
        <f>E81-H81+K81</f>
        <v>0</v>
      </c>
      <c r="O81" s="568" t="s">
        <v>34</v>
      </c>
      <c r="P81" s="518"/>
    </row>
    <row r="82" spans="1:16" s="504" customFormat="1" ht="36.75" customHeight="1">
      <c r="A82" s="38" t="s">
        <v>180</v>
      </c>
      <c r="B82" s="71" t="s">
        <v>206</v>
      </c>
      <c r="C82" s="544">
        <f>C83</f>
        <v>0</v>
      </c>
      <c r="D82" s="544">
        <f>D83</f>
        <v>0</v>
      </c>
      <c r="E82" s="544">
        <f t="shared" ref="E82:N82" si="58">E83</f>
        <v>0</v>
      </c>
      <c r="F82" s="544">
        <f t="shared" si="58"/>
        <v>0</v>
      </c>
      <c r="G82" s="544">
        <f t="shared" si="58"/>
        <v>0</v>
      </c>
      <c r="H82" s="544">
        <f t="shared" si="58"/>
        <v>0</v>
      </c>
      <c r="I82" s="544">
        <f>I83</f>
        <v>48834000</v>
      </c>
      <c r="J82" s="544">
        <f t="shared" si="58"/>
        <v>2834000</v>
      </c>
      <c r="K82" s="544">
        <f t="shared" si="58"/>
        <v>46000000</v>
      </c>
      <c r="L82" s="544">
        <f t="shared" si="58"/>
        <v>48834000</v>
      </c>
      <c r="M82" s="544">
        <f t="shared" si="58"/>
        <v>2834000</v>
      </c>
      <c r="N82" s="544">
        <f t="shared" si="58"/>
        <v>46000000</v>
      </c>
      <c r="O82" s="568"/>
      <c r="P82" s="529"/>
    </row>
    <row r="83" spans="1:16" s="504" customFormat="1" ht="38.25" customHeight="1">
      <c r="A83" s="555" t="s">
        <v>32</v>
      </c>
      <c r="B83" s="71" t="s">
        <v>244</v>
      </c>
      <c r="C83" s="544">
        <f>D83+E83</f>
        <v>0</v>
      </c>
      <c r="D83" s="544">
        <v>0</v>
      </c>
      <c r="E83" s="544">
        <v>0</v>
      </c>
      <c r="F83" s="545">
        <f>G83+H83</f>
        <v>0</v>
      </c>
      <c r="G83" s="545"/>
      <c r="H83" s="545"/>
      <c r="I83" s="544">
        <f>J83+K83</f>
        <v>48834000</v>
      </c>
      <c r="J83" s="544">
        <v>2834000</v>
      </c>
      <c r="K83" s="544">
        <v>46000000</v>
      </c>
      <c r="L83" s="544">
        <f>M83+N83</f>
        <v>48834000</v>
      </c>
      <c r="M83" s="544">
        <f>D83-G83+J83</f>
        <v>2834000</v>
      </c>
      <c r="N83" s="544">
        <f>E83-H83+K83</f>
        <v>46000000</v>
      </c>
      <c r="O83" s="568" t="s">
        <v>245</v>
      </c>
      <c r="P83" s="519" t="s">
        <v>310</v>
      </c>
    </row>
    <row r="84" spans="1:16" s="504" customFormat="1" ht="36.75" customHeight="1">
      <c r="A84" s="50" t="s">
        <v>249</v>
      </c>
      <c r="B84" s="71" t="s">
        <v>303</v>
      </c>
      <c r="C84" s="544">
        <f>C85</f>
        <v>1574000000</v>
      </c>
      <c r="D84" s="544">
        <f t="shared" ref="D84:N84" si="59">D85</f>
        <v>1528000000</v>
      </c>
      <c r="E84" s="544">
        <f t="shared" si="59"/>
        <v>46000000</v>
      </c>
      <c r="F84" s="545">
        <f t="shared" si="59"/>
        <v>248834000</v>
      </c>
      <c r="G84" s="545">
        <f t="shared" si="59"/>
        <v>202834000</v>
      </c>
      <c r="H84" s="545">
        <f t="shared" si="59"/>
        <v>46000000</v>
      </c>
      <c r="I84" s="544">
        <f t="shared" si="59"/>
        <v>0</v>
      </c>
      <c r="J84" s="544">
        <f t="shared" si="59"/>
        <v>0</v>
      </c>
      <c r="K84" s="544">
        <f t="shared" si="59"/>
        <v>0</v>
      </c>
      <c r="L84" s="544">
        <f t="shared" si="59"/>
        <v>1325166000</v>
      </c>
      <c r="M84" s="544">
        <f t="shared" si="59"/>
        <v>1325166000</v>
      </c>
      <c r="N84" s="544">
        <f t="shared" si="59"/>
        <v>0</v>
      </c>
      <c r="O84" s="30"/>
      <c r="P84" s="525"/>
    </row>
    <row r="85" spans="1:16" s="504" customFormat="1" ht="51.75" customHeight="1">
      <c r="A85" s="555" t="s">
        <v>32</v>
      </c>
      <c r="B85" s="71" t="s">
        <v>314</v>
      </c>
      <c r="C85" s="544">
        <f>D85+E85</f>
        <v>1574000000</v>
      </c>
      <c r="D85" s="544">
        <v>1528000000</v>
      </c>
      <c r="E85" s="544">
        <v>46000000</v>
      </c>
      <c r="F85" s="545">
        <f>G85+H85</f>
        <v>248834000</v>
      </c>
      <c r="G85" s="545">
        <v>202834000</v>
      </c>
      <c r="H85" s="545">
        <v>46000000</v>
      </c>
      <c r="I85" s="544"/>
      <c r="J85" s="544"/>
      <c r="K85" s="544"/>
      <c r="L85" s="544">
        <f>M85+N85</f>
        <v>1325166000</v>
      </c>
      <c r="M85" s="544">
        <f>D85-G85+J85</f>
        <v>1325166000</v>
      </c>
      <c r="N85" s="544">
        <f>E85-H85+K85</f>
        <v>0</v>
      </c>
      <c r="O85" s="568" t="s">
        <v>238</v>
      </c>
      <c r="P85" s="518"/>
    </row>
    <row r="86" spans="1:16" s="504" customFormat="1" ht="43.5" customHeight="1">
      <c r="A86" s="555" t="s">
        <v>213</v>
      </c>
      <c r="B86" s="71" t="s">
        <v>259</v>
      </c>
      <c r="C86" s="544">
        <v>1574000000</v>
      </c>
      <c r="D86" s="544">
        <v>1528000000</v>
      </c>
      <c r="E86" s="544">
        <v>46000000</v>
      </c>
      <c r="F86" s="545">
        <f>G86+H86</f>
        <v>248834000</v>
      </c>
      <c r="G86" s="545">
        <v>202834000</v>
      </c>
      <c r="H86" s="545">
        <v>46000000</v>
      </c>
      <c r="I86" s="544"/>
      <c r="J86" s="544"/>
      <c r="K86" s="544"/>
      <c r="L86" s="544">
        <f>M86+N86</f>
        <v>1325166000</v>
      </c>
      <c r="M86" s="544">
        <f>D86-G86+J86</f>
        <v>1325166000</v>
      </c>
      <c r="N86" s="544">
        <f>E86-H86+K86</f>
        <v>0</v>
      </c>
      <c r="O86" s="568"/>
      <c r="P86" s="518" t="s">
        <v>315</v>
      </c>
    </row>
    <row r="87" spans="1:16" s="504" customFormat="1" ht="37.5" customHeight="1">
      <c r="A87" s="50" t="s">
        <v>257</v>
      </c>
      <c r="B87" s="71" t="s">
        <v>298</v>
      </c>
      <c r="C87" s="544">
        <f>C88</f>
        <v>0</v>
      </c>
      <c r="D87" s="544">
        <f t="shared" ref="D87:N87" si="60">D88</f>
        <v>0</v>
      </c>
      <c r="E87" s="544">
        <f t="shared" si="60"/>
        <v>0</v>
      </c>
      <c r="F87" s="544">
        <f t="shared" si="60"/>
        <v>0</v>
      </c>
      <c r="G87" s="544">
        <f t="shared" si="60"/>
        <v>0</v>
      </c>
      <c r="H87" s="544">
        <f t="shared" si="60"/>
        <v>0</v>
      </c>
      <c r="I87" s="544">
        <f t="shared" si="60"/>
        <v>200000000</v>
      </c>
      <c r="J87" s="544">
        <f t="shared" si="60"/>
        <v>200000000</v>
      </c>
      <c r="K87" s="544">
        <f t="shared" si="60"/>
        <v>0</v>
      </c>
      <c r="L87" s="544">
        <f t="shared" si="60"/>
        <v>200000000</v>
      </c>
      <c r="M87" s="544">
        <f t="shared" si="60"/>
        <v>200000000</v>
      </c>
      <c r="N87" s="544">
        <f t="shared" si="60"/>
        <v>0</v>
      </c>
      <c r="O87" s="30"/>
      <c r="P87" s="520"/>
    </row>
    <row r="88" spans="1:16" s="504" customFormat="1" ht="37.5" customHeight="1">
      <c r="A88" s="38" t="s">
        <v>32</v>
      </c>
      <c r="B88" s="71" t="s">
        <v>292</v>
      </c>
      <c r="C88" s="544">
        <f>D88+E88</f>
        <v>0</v>
      </c>
      <c r="D88" s="544">
        <v>0</v>
      </c>
      <c r="E88" s="544">
        <v>0</v>
      </c>
      <c r="F88" s="544">
        <f>G88+H88</f>
        <v>0</v>
      </c>
      <c r="G88" s="544">
        <v>0</v>
      </c>
      <c r="H88" s="544">
        <v>0</v>
      </c>
      <c r="I88" s="544">
        <f>J88+K88</f>
        <v>200000000</v>
      </c>
      <c r="J88" s="544">
        <v>200000000</v>
      </c>
      <c r="K88" s="544">
        <v>0</v>
      </c>
      <c r="L88" s="544">
        <f>M88+N88</f>
        <v>200000000</v>
      </c>
      <c r="M88" s="544">
        <f>D88+J88+G88</f>
        <v>200000000</v>
      </c>
      <c r="N88" s="544">
        <f>E88+K88+H88</f>
        <v>0</v>
      </c>
      <c r="O88" s="568" t="s">
        <v>299</v>
      </c>
      <c r="P88" s="518" t="s">
        <v>316</v>
      </c>
    </row>
    <row r="89" spans="1:16" s="504" customFormat="1" ht="52.5" customHeight="1">
      <c r="A89" s="50" t="s">
        <v>260</v>
      </c>
      <c r="B89" s="71" t="s">
        <v>237</v>
      </c>
      <c r="C89" s="544">
        <f>C90+C91</f>
        <v>770010</v>
      </c>
      <c r="D89" s="544">
        <f t="shared" ref="D89:N89" si="61">D90+D91</f>
        <v>770010</v>
      </c>
      <c r="E89" s="544">
        <f t="shared" si="61"/>
        <v>0</v>
      </c>
      <c r="F89" s="545">
        <f t="shared" si="61"/>
        <v>770010</v>
      </c>
      <c r="G89" s="545">
        <f t="shared" si="61"/>
        <v>770010</v>
      </c>
      <c r="H89" s="545">
        <f t="shared" si="61"/>
        <v>0</v>
      </c>
      <c r="I89" s="544">
        <f t="shared" si="61"/>
        <v>0</v>
      </c>
      <c r="J89" s="544">
        <f t="shared" si="61"/>
        <v>0</v>
      </c>
      <c r="K89" s="544">
        <f t="shared" si="61"/>
        <v>0</v>
      </c>
      <c r="L89" s="544">
        <f t="shared" si="61"/>
        <v>0</v>
      </c>
      <c r="M89" s="544">
        <f t="shared" si="61"/>
        <v>0</v>
      </c>
      <c r="N89" s="544">
        <f t="shared" si="61"/>
        <v>0</v>
      </c>
      <c r="O89" s="30"/>
      <c r="P89" s="518"/>
    </row>
    <row r="90" spans="1:16" s="504" customFormat="1" ht="36" customHeight="1">
      <c r="A90" s="38" t="s">
        <v>32</v>
      </c>
      <c r="B90" s="71" t="s">
        <v>239</v>
      </c>
      <c r="C90" s="544">
        <f>D90+E90</f>
        <v>10</v>
      </c>
      <c r="D90" s="544">
        <v>10</v>
      </c>
      <c r="E90" s="544">
        <v>0</v>
      </c>
      <c r="F90" s="545">
        <f>G90+H90</f>
        <v>10</v>
      </c>
      <c r="G90" s="545">
        <v>10</v>
      </c>
      <c r="H90" s="545">
        <v>0</v>
      </c>
      <c r="I90" s="544">
        <f>J90+K90</f>
        <v>0</v>
      </c>
      <c r="J90" s="544">
        <v>0</v>
      </c>
      <c r="K90" s="544">
        <v>0</v>
      </c>
      <c r="L90" s="544">
        <f>M90+N90</f>
        <v>0</v>
      </c>
      <c r="M90" s="547">
        <f>D90-G90+J90</f>
        <v>0</v>
      </c>
      <c r="N90" s="547">
        <f>E90-H90+K90</f>
        <v>0</v>
      </c>
      <c r="O90" s="697" t="s">
        <v>238</v>
      </c>
      <c r="P90" s="702" t="s">
        <v>317</v>
      </c>
    </row>
    <row r="91" spans="1:16" s="504" customFormat="1" ht="36.75" customHeight="1">
      <c r="A91" s="38" t="s">
        <v>32</v>
      </c>
      <c r="B91" s="71" t="s">
        <v>240</v>
      </c>
      <c r="C91" s="544">
        <f>D91+E91</f>
        <v>770000</v>
      </c>
      <c r="D91" s="544">
        <v>770000</v>
      </c>
      <c r="E91" s="544">
        <v>0</v>
      </c>
      <c r="F91" s="545">
        <f>G91+H91</f>
        <v>770000</v>
      </c>
      <c r="G91" s="545">
        <v>770000</v>
      </c>
      <c r="H91" s="545">
        <v>0</v>
      </c>
      <c r="I91" s="544">
        <f>J91+K91</f>
        <v>0</v>
      </c>
      <c r="J91" s="544">
        <v>0</v>
      </c>
      <c r="K91" s="544">
        <v>0</v>
      </c>
      <c r="L91" s="544">
        <f>M91+N91</f>
        <v>0</v>
      </c>
      <c r="M91" s="547">
        <f>D91-G91+J91</f>
        <v>0</v>
      </c>
      <c r="N91" s="547">
        <f>E91-H91+K91</f>
        <v>0</v>
      </c>
      <c r="O91" s="697"/>
      <c r="P91" s="702"/>
    </row>
    <row r="92" spans="1:16" s="504" customFormat="1" ht="31.5">
      <c r="A92" s="556">
        <v>2</v>
      </c>
      <c r="B92" s="557" t="s">
        <v>9</v>
      </c>
      <c r="C92" s="159">
        <f>C93</f>
        <v>6029669736</v>
      </c>
      <c r="D92" s="159">
        <f t="shared" ref="D92:N92" si="62">D93</f>
        <v>5853909736</v>
      </c>
      <c r="E92" s="159">
        <f t="shared" si="62"/>
        <v>175760000</v>
      </c>
      <c r="F92" s="159">
        <f t="shared" si="62"/>
        <v>0</v>
      </c>
      <c r="G92" s="159">
        <f t="shared" si="62"/>
        <v>0</v>
      </c>
      <c r="H92" s="159">
        <f t="shared" si="62"/>
        <v>0</v>
      </c>
      <c r="I92" s="159">
        <f t="shared" si="62"/>
        <v>40100494</v>
      </c>
      <c r="J92" s="159">
        <f t="shared" si="62"/>
        <v>33408898</v>
      </c>
      <c r="K92" s="159">
        <f t="shared" si="62"/>
        <v>6691596</v>
      </c>
      <c r="L92" s="159">
        <f t="shared" si="62"/>
        <v>6069770230</v>
      </c>
      <c r="M92" s="159">
        <f t="shared" si="62"/>
        <v>5887318634</v>
      </c>
      <c r="N92" s="159">
        <f t="shared" si="62"/>
        <v>182451596</v>
      </c>
      <c r="O92" s="579"/>
      <c r="P92" s="524"/>
    </row>
    <row r="93" spans="1:16" s="506" customFormat="1" ht="54" customHeight="1">
      <c r="A93" s="38" t="s">
        <v>269</v>
      </c>
      <c r="B93" s="71" t="s">
        <v>318</v>
      </c>
      <c r="C93" s="544">
        <f>D93+E93</f>
        <v>6029669736</v>
      </c>
      <c r="D93" s="544">
        <v>5853909736</v>
      </c>
      <c r="E93" s="544">
        <v>175760000</v>
      </c>
      <c r="F93" s="545">
        <f>G93+H93</f>
        <v>0</v>
      </c>
      <c r="G93" s="545">
        <v>0</v>
      </c>
      <c r="H93" s="545"/>
      <c r="I93" s="544">
        <f>J93+K93</f>
        <v>40100494</v>
      </c>
      <c r="J93" s="544">
        <v>33408898</v>
      </c>
      <c r="K93" s="544">
        <v>6691596</v>
      </c>
      <c r="L93" s="544">
        <f t="shared" ref="L93" si="63">C93+I93+F93</f>
        <v>6069770230</v>
      </c>
      <c r="M93" s="544">
        <f>D93-G93+J93</f>
        <v>5887318634</v>
      </c>
      <c r="N93" s="544">
        <f>E93-H93+K93</f>
        <v>182451596</v>
      </c>
      <c r="O93" s="30" t="s">
        <v>34</v>
      </c>
      <c r="P93" s="530" t="s">
        <v>289</v>
      </c>
    </row>
    <row r="94" spans="1:16" s="507" customFormat="1" ht="21" customHeight="1">
      <c r="A94" s="552" t="s">
        <v>281</v>
      </c>
      <c r="B94" s="553" t="s">
        <v>193</v>
      </c>
      <c r="C94" s="157">
        <f t="shared" ref="C94:N94" si="64">C95+C144</f>
        <v>4390207600</v>
      </c>
      <c r="D94" s="157">
        <f t="shared" si="64"/>
        <v>4229393600</v>
      </c>
      <c r="E94" s="157">
        <f t="shared" si="64"/>
        <v>160814000</v>
      </c>
      <c r="F94" s="554">
        <f t="shared" si="64"/>
        <v>475883050</v>
      </c>
      <c r="G94" s="554">
        <f t="shared" si="64"/>
        <v>450019050</v>
      </c>
      <c r="H94" s="554">
        <f t="shared" si="64"/>
        <v>25864000</v>
      </c>
      <c r="I94" s="157">
        <f t="shared" si="64"/>
        <v>475883050</v>
      </c>
      <c r="J94" s="157">
        <f t="shared" si="64"/>
        <v>450019050</v>
      </c>
      <c r="K94" s="157">
        <f t="shared" si="64"/>
        <v>25864000</v>
      </c>
      <c r="L94" s="157">
        <f t="shared" si="64"/>
        <v>4390207600</v>
      </c>
      <c r="M94" s="157">
        <f t="shared" si="64"/>
        <v>4229393600</v>
      </c>
      <c r="N94" s="157">
        <f t="shared" si="64"/>
        <v>160814000</v>
      </c>
      <c r="O94" s="578"/>
      <c r="P94" s="515"/>
    </row>
    <row r="95" spans="1:16" s="507" customFormat="1" ht="31.5">
      <c r="A95" s="556">
        <v>1</v>
      </c>
      <c r="B95" s="557" t="s">
        <v>9</v>
      </c>
      <c r="C95" s="558">
        <f>C96+C98+C102</f>
        <v>4390207600</v>
      </c>
      <c r="D95" s="558">
        <f t="shared" ref="D95:N95" si="65">D96+D98+D102</f>
        <v>4229393600</v>
      </c>
      <c r="E95" s="558">
        <f t="shared" si="65"/>
        <v>160814000</v>
      </c>
      <c r="F95" s="558">
        <f t="shared" si="65"/>
        <v>475883050</v>
      </c>
      <c r="G95" s="558">
        <f t="shared" si="65"/>
        <v>450019050</v>
      </c>
      <c r="H95" s="558">
        <f t="shared" si="65"/>
        <v>25864000</v>
      </c>
      <c r="I95" s="558">
        <f t="shared" si="65"/>
        <v>475883050</v>
      </c>
      <c r="J95" s="558">
        <f t="shared" si="65"/>
        <v>450019050</v>
      </c>
      <c r="K95" s="558">
        <f t="shared" si="65"/>
        <v>25864000</v>
      </c>
      <c r="L95" s="558">
        <f t="shared" si="65"/>
        <v>4390207600</v>
      </c>
      <c r="M95" s="558">
        <f t="shared" si="65"/>
        <v>4229393600</v>
      </c>
      <c r="N95" s="558">
        <f t="shared" si="65"/>
        <v>160814000</v>
      </c>
      <c r="O95" s="579"/>
      <c r="P95" s="531"/>
    </row>
    <row r="96" spans="1:16" s="507" customFormat="1" ht="39.75" customHeight="1">
      <c r="A96" s="50" t="s">
        <v>173</v>
      </c>
      <c r="B96" s="71" t="s">
        <v>206</v>
      </c>
      <c r="C96" s="544">
        <f>C97</f>
        <v>1851103000</v>
      </c>
      <c r="D96" s="544">
        <f t="shared" ref="D96:N96" si="66">D97</f>
        <v>1797743000</v>
      </c>
      <c r="E96" s="544">
        <f t="shared" si="66"/>
        <v>53360000</v>
      </c>
      <c r="F96" s="544">
        <f t="shared" si="66"/>
        <v>0</v>
      </c>
      <c r="G96" s="544">
        <f t="shared" si="66"/>
        <v>0</v>
      </c>
      <c r="H96" s="544">
        <f t="shared" si="66"/>
        <v>0</v>
      </c>
      <c r="I96" s="544">
        <f t="shared" si="66"/>
        <v>475883050</v>
      </c>
      <c r="J96" s="544">
        <f t="shared" si="66"/>
        <v>450019050</v>
      </c>
      <c r="K96" s="544">
        <f t="shared" si="66"/>
        <v>25864000</v>
      </c>
      <c r="L96" s="544">
        <f t="shared" si="66"/>
        <v>2326986050</v>
      </c>
      <c r="M96" s="544">
        <f t="shared" si="66"/>
        <v>2247762050</v>
      </c>
      <c r="N96" s="544">
        <f t="shared" si="66"/>
        <v>79224000</v>
      </c>
      <c r="O96" s="30"/>
      <c r="P96" s="525"/>
    </row>
    <row r="97" spans="1:16" s="507" customFormat="1" ht="39.75" customHeight="1">
      <c r="A97" s="50" t="s">
        <v>32</v>
      </c>
      <c r="B97" s="71" t="s">
        <v>302</v>
      </c>
      <c r="C97" s="544">
        <f>D97+E97</f>
        <v>1851103000</v>
      </c>
      <c r="D97" s="544">
        <v>1797743000</v>
      </c>
      <c r="E97" s="544">
        <v>53360000</v>
      </c>
      <c r="F97" s="544"/>
      <c r="G97" s="544"/>
      <c r="H97" s="544"/>
      <c r="I97" s="544">
        <f>J97+K97</f>
        <v>475883050</v>
      </c>
      <c r="J97" s="544">
        <v>450019050</v>
      </c>
      <c r="K97" s="544">
        <v>25864000</v>
      </c>
      <c r="L97" s="544">
        <f>M97+N97</f>
        <v>2326986050</v>
      </c>
      <c r="M97" s="544">
        <f>D97-G97+J97</f>
        <v>2247762050</v>
      </c>
      <c r="N97" s="544">
        <f>E97-H97+K97</f>
        <v>79224000</v>
      </c>
      <c r="O97" s="30" t="s">
        <v>34</v>
      </c>
      <c r="P97" s="525" t="s">
        <v>291</v>
      </c>
    </row>
    <row r="98" spans="1:16" s="507" customFormat="1" ht="38.25" customHeight="1">
      <c r="A98" s="50" t="s">
        <v>180</v>
      </c>
      <c r="B98" s="71" t="s">
        <v>303</v>
      </c>
      <c r="C98" s="544">
        <f>C99+C101</f>
        <v>2456000000</v>
      </c>
      <c r="D98" s="544">
        <f t="shared" ref="D98:N98" si="67">D99+D101</f>
        <v>2357000000</v>
      </c>
      <c r="E98" s="544">
        <f t="shared" si="67"/>
        <v>99000000</v>
      </c>
      <c r="F98" s="544">
        <f t="shared" si="67"/>
        <v>392778450</v>
      </c>
      <c r="G98" s="544">
        <f t="shared" si="67"/>
        <v>375368450</v>
      </c>
      <c r="H98" s="544">
        <f t="shared" si="67"/>
        <v>17410000</v>
      </c>
      <c r="I98" s="544">
        <f t="shared" si="67"/>
        <v>0</v>
      </c>
      <c r="J98" s="544">
        <f t="shared" si="67"/>
        <v>0</v>
      </c>
      <c r="K98" s="544">
        <f t="shared" si="67"/>
        <v>0</v>
      </c>
      <c r="L98" s="544">
        <f t="shared" si="67"/>
        <v>2063221550</v>
      </c>
      <c r="M98" s="544">
        <f t="shared" si="67"/>
        <v>1981631550</v>
      </c>
      <c r="N98" s="544">
        <f t="shared" si="67"/>
        <v>81590000</v>
      </c>
      <c r="O98" s="30"/>
      <c r="P98" s="525"/>
    </row>
    <row r="99" spans="1:16" s="507" customFormat="1" ht="51" customHeight="1">
      <c r="A99" s="38" t="s">
        <v>32</v>
      </c>
      <c r="B99" s="71" t="s">
        <v>212</v>
      </c>
      <c r="C99" s="544">
        <f>C100</f>
        <v>1977000000</v>
      </c>
      <c r="D99" s="544">
        <f t="shared" ref="D99:N99" si="68">D100</f>
        <v>1897000000</v>
      </c>
      <c r="E99" s="544">
        <f t="shared" si="68"/>
        <v>80000000</v>
      </c>
      <c r="F99" s="544">
        <f t="shared" si="68"/>
        <v>57715600</v>
      </c>
      <c r="G99" s="544">
        <f t="shared" si="68"/>
        <v>54305600</v>
      </c>
      <c r="H99" s="544">
        <f t="shared" si="68"/>
        <v>3410000</v>
      </c>
      <c r="I99" s="544">
        <f t="shared" si="68"/>
        <v>0</v>
      </c>
      <c r="J99" s="544">
        <f t="shared" si="68"/>
        <v>0</v>
      </c>
      <c r="K99" s="544">
        <f t="shared" si="68"/>
        <v>0</v>
      </c>
      <c r="L99" s="544">
        <f t="shared" si="68"/>
        <v>1919284400</v>
      </c>
      <c r="M99" s="544">
        <f t="shared" si="68"/>
        <v>1842694400</v>
      </c>
      <c r="N99" s="544">
        <f t="shared" si="68"/>
        <v>76590000</v>
      </c>
      <c r="O99" s="568" t="s">
        <v>238</v>
      </c>
      <c r="P99" s="525"/>
    </row>
    <row r="100" spans="1:16" s="507" customFormat="1" ht="94.5">
      <c r="A100" s="38" t="s">
        <v>213</v>
      </c>
      <c r="B100" s="71" t="s">
        <v>214</v>
      </c>
      <c r="C100" s="544">
        <f>D100+E100</f>
        <v>1977000000</v>
      </c>
      <c r="D100" s="544">
        <v>1897000000</v>
      </c>
      <c r="E100" s="544">
        <v>80000000</v>
      </c>
      <c r="F100" s="545">
        <f>G100+H100</f>
        <v>57715600</v>
      </c>
      <c r="G100" s="545">
        <v>54305600</v>
      </c>
      <c r="H100" s="545">
        <v>3410000</v>
      </c>
      <c r="I100" s="544"/>
      <c r="J100" s="544"/>
      <c r="K100" s="544"/>
      <c r="L100" s="544">
        <f>M100+N100</f>
        <v>1919284400</v>
      </c>
      <c r="M100" s="544">
        <f>D100-G100+J100</f>
        <v>1842694400</v>
      </c>
      <c r="N100" s="544">
        <f>E100-H100+K100</f>
        <v>76590000</v>
      </c>
      <c r="O100" s="568"/>
      <c r="P100" s="525" t="s">
        <v>274</v>
      </c>
    </row>
    <row r="101" spans="1:16" s="507" customFormat="1" ht="31.5">
      <c r="A101" s="555" t="s">
        <v>32</v>
      </c>
      <c r="B101" s="71" t="s">
        <v>220</v>
      </c>
      <c r="C101" s="544">
        <f>D101+E101</f>
        <v>479000000</v>
      </c>
      <c r="D101" s="544">
        <v>460000000</v>
      </c>
      <c r="E101" s="544">
        <v>19000000</v>
      </c>
      <c r="F101" s="545">
        <f>G101+H101</f>
        <v>335062850</v>
      </c>
      <c r="G101" s="545">
        <v>321062850</v>
      </c>
      <c r="H101" s="545">
        <v>14000000</v>
      </c>
      <c r="I101" s="544"/>
      <c r="J101" s="544"/>
      <c r="K101" s="544"/>
      <c r="L101" s="544">
        <f>M101+N101</f>
        <v>143937150</v>
      </c>
      <c r="M101" s="544">
        <f>D101-G101+J101</f>
        <v>138937150</v>
      </c>
      <c r="N101" s="544">
        <f>E101-H101+K101</f>
        <v>5000000</v>
      </c>
      <c r="O101" s="568" t="s">
        <v>34</v>
      </c>
      <c r="P101" s="525"/>
    </row>
    <row r="102" spans="1:16" s="507" customFormat="1" ht="31.5">
      <c r="A102" s="555" t="s">
        <v>249</v>
      </c>
      <c r="B102" s="71" t="s">
        <v>237</v>
      </c>
      <c r="C102" s="544">
        <f>C103</f>
        <v>83104600</v>
      </c>
      <c r="D102" s="544">
        <f t="shared" ref="D102:N102" si="69">D103</f>
        <v>74650600</v>
      </c>
      <c r="E102" s="544">
        <f t="shared" si="69"/>
        <v>8454000</v>
      </c>
      <c r="F102" s="544">
        <f t="shared" si="69"/>
        <v>83104600</v>
      </c>
      <c r="G102" s="544">
        <f t="shared" si="69"/>
        <v>74650600</v>
      </c>
      <c r="H102" s="544">
        <f t="shared" si="69"/>
        <v>8454000</v>
      </c>
      <c r="I102" s="544">
        <f t="shared" si="69"/>
        <v>0</v>
      </c>
      <c r="J102" s="544">
        <f t="shared" si="69"/>
        <v>0</v>
      </c>
      <c r="K102" s="544">
        <f t="shared" si="69"/>
        <v>0</v>
      </c>
      <c r="L102" s="544">
        <f t="shared" si="69"/>
        <v>0</v>
      </c>
      <c r="M102" s="544">
        <f t="shared" si="69"/>
        <v>0</v>
      </c>
      <c r="N102" s="544">
        <f t="shared" si="69"/>
        <v>0</v>
      </c>
      <c r="O102" s="568"/>
      <c r="P102" s="525"/>
    </row>
    <row r="103" spans="1:16" s="507" customFormat="1" ht="39" customHeight="1">
      <c r="A103" s="555" t="s">
        <v>306</v>
      </c>
      <c r="B103" s="71" t="s">
        <v>307</v>
      </c>
      <c r="C103" s="544">
        <f>D103+E103</f>
        <v>83104600</v>
      </c>
      <c r="D103" s="544">
        <v>74650600</v>
      </c>
      <c r="E103" s="544">
        <v>8454000</v>
      </c>
      <c r="F103" s="545">
        <f>G103+H103</f>
        <v>83104600</v>
      </c>
      <c r="G103" s="545">
        <v>74650600</v>
      </c>
      <c r="H103" s="545">
        <v>8454000</v>
      </c>
      <c r="I103" s="544"/>
      <c r="J103" s="544"/>
      <c r="K103" s="544"/>
      <c r="L103" s="544">
        <f>M103+N103</f>
        <v>0</v>
      </c>
      <c r="M103" s="544">
        <f>D103-G103+J103</f>
        <v>0</v>
      </c>
      <c r="N103" s="544">
        <f>E103-H103+K103</f>
        <v>0</v>
      </c>
      <c r="O103" s="568" t="s">
        <v>238</v>
      </c>
      <c r="P103" s="532" t="s">
        <v>317</v>
      </c>
    </row>
    <row r="104" spans="1:16" ht="23.25" customHeight="1">
      <c r="A104" s="552" t="s">
        <v>276</v>
      </c>
      <c r="B104" s="553" t="s">
        <v>937</v>
      </c>
      <c r="C104" s="157">
        <f t="shared" ref="C104:N104" si="70">C105+C112+C125</f>
        <v>30585725726</v>
      </c>
      <c r="D104" s="157">
        <f t="shared" si="70"/>
        <v>29792890056</v>
      </c>
      <c r="E104" s="157">
        <f t="shared" si="70"/>
        <v>792835670</v>
      </c>
      <c r="F104" s="554">
        <f t="shared" si="70"/>
        <v>6510569877</v>
      </c>
      <c r="G104" s="554">
        <f t="shared" si="70"/>
        <v>6469014207</v>
      </c>
      <c r="H104" s="554">
        <f t="shared" si="70"/>
        <v>41555670</v>
      </c>
      <c r="I104" s="157">
        <f t="shared" si="70"/>
        <v>6510569877</v>
      </c>
      <c r="J104" s="157">
        <f t="shared" si="70"/>
        <v>6469014207</v>
      </c>
      <c r="K104" s="157">
        <f t="shared" si="70"/>
        <v>41555670</v>
      </c>
      <c r="L104" s="157">
        <f t="shared" si="70"/>
        <v>30585725726</v>
      </c>
      <c r="M104" s="157">
        <f t="shared" si="70"/>
        <v>29792890056</v>
      </c>
      <c r="N104" s="157">
        <f t="shared" si="70"/>
        <v>792835670</v>
      </c>
      <c r="O104" s="578"/>
      <c r="P104" s="515"/>
    </row>
    <row r="105" spans="1:16" ht="36" customHeight="1">
      <c r="A105" s="556">
        <v>1</v>
      </c>
      <c r="B105" s="557" t="s">
        <v>234</v>
      </c>
      <c r="C105" s="558">
        <f>D105+E105</f>
        <v>45559374</v>
      </c>
      <c r="D105" s="558">
        <f t="shared" ref="D105:N105" si="71">D108+D109+D106</f>
        <v>45559374</v>
      </c>
      <c r="E105" s="558">
        <f t="shared" si="71"/>
        <v>0</v>
      </c>
      <c r="F105" s="558">
        <f t="shared" si="71"/>
        <v>45559374</v>
      </c>
      <c r="G105" s="558">
        <f t="shared" si="71"/>
        <v>45559374</v>
      </c>
      <c r="H105" s="558">
        <f t="shared" si="71"/>
        <v>0</v>
      </c>
      <c r="I105" s="558">
        <f t="shared" si="71"/>
        <v>152854366</v>
      </c>
      <c r="J105" s="558">
        <f t="shared" si="71"/>
        <v>152854366</v>
      </c>
      <c r="K105" s="558">
        <f t="shared" si="71"/>
        <v>0</v>
      </c>
      <c r="L105" s="558">
        <f t="shared" si="71"/>
        <v>152854366</v>
      </c>
      <c r="M105" s="558">
        <f t="shared" si="71"/>
        <v>152854366</v>
      </c>
      <c r="N105" s="558">
        <f t="shared" si="71"/>
        <v>0</v>
      </c>
      <c r="O105" s="579"/>
      <c r="P105" s="531"/>
    </row>
    <row r="106" spans="1:16" ht="56.25" customHeight="1">
      <c r="A106" s="50" t="s">
        <v>173</v>
      </c>
      <c r="B106" s="71" t="s">
        <v>972</v>
      </c>
      <c r="C106" s="416">
        <f>D106+E106</f>
        <v>0</v>
      </c>
      <c r="D106" s="416"/>
      <c r="E106" s="416"/>
      <c r="F106" s="416">
        <f>G106+H106</f>
        <v>0</v>
      </c>
      <c r="G106" s="416"/>
      <c r="H106" s="416"/>
      <c r="I106" s="416">
        <f>J106+K106</f>
        <v>152854366</v>
      </c>
      <c r="J106" s="416">
        <f>J107</f>
        <v>152854366</v>
      </c>
      <c r="K106" s="416">
        <f>K107</f>
        <v>0</v>
      </c>
      <c r="L106" s="416">
        <f>M106+N106</f>
        <v>152854366</v>
      </c>
      <c r="M106" s="416">
        <f>M107</f>
        <v>152854366</v>
      </c>
      <c r="N106" s="416">
        <f>N107</f>
        <v>0</v>
      </c>
      <c r="O106" s="566"/>
      <c r="P106" s="534"/>
    </row>
    <row r="107" spans="1:16" ht="56.25" customHeight="1">
      <c r="A107" s="50" t="s">
        <v>32</v>
      </c>
      <c r="B107" s="567" t="s">
        <v>973</v>
      </c>
      <c r="C107" s="416"/>
      <c r="D107" s="416"/>
      <c r="E107" s="416"/>
      <c r="F107" s="416"/>
      <c r="G107" s="416"/>
      <c r="H107" s="416"/>
      <c r="I107" s="416">
        <f>J107+K107</f>
        <v>152854366</v>
      </c>
      <c r="J107" s="416">
        <f>45559374+107294992</f>
        <v>152854366</v>
      </c>
      <c r="K107" s="416"/>
      <c r="L107" s="416">
        <f t="shared" ref="L107" si="72">M107+N107</f>
        <v>152854366</v>
      </c>
      <c r="M107" s="416">
        <f t="shared" ref="M107:N107" si="73">D107-G107+J107</f>
        <v>152854366</v>
      </c>
      <c r="N107" s="416">
        <f t="shared" si="73"/>
        <v>0</v>
      </c>
      <c r="O107" s="566" t="s">
        <v>34</v>
      </c>
      <c r="P107" s="232" t="s">
        <v>974</v>
      </c>
    </row>
    <row r="108" spans="1:16" ht="43.5" customHeight="1">
      <c r="A108" s="50" t="s">
        <v>180</v>
      </c>
      <c r="B108" s="71" t="s">
        <v>975</v>
      </c>
      <c r="C108" s="51">
        <f>D108+E108</f>
        <v>0</v>
      </c>
      <c r="D108" s="51">
        <f>107294992-107294992</f>
        <v>0</v>
      </c>
      <c r="E108" s="51"/>
      <c r="F108" s="51">
        <f>G108+H108</f>
        <v>0</v>
      </c>
      <c r="G108" s="51">
        <f>107294992-107294992</f>
        <v>0</v>
      </c>
      <c r="H108" s="51"/>
      <c r="I108" s="51"/>
      <c r="J108" s="51"/>
      <c r="K108" s="51"/>
      <c r="L108" s="51"/>
      <c r="M108" s="51">
        <f>D108-G108+J108</f>
        <v>0</v>
      </c>
      <c r="N108" s="51">
        <f>E108-H108+K108</f>
        <v>0</v>
      </c>
      <c r="O108" s="417" t="s">
        <v>34</v>
      </c>
      <c r="P108" s="69" t="s">
        <v>317</v>
      </c>
    </row>
    <row r="109" spans="1:16" ht="36.75" customHeight="1">
      <c r="A109" s="50" t="s">
        <v>249</v>
      </c>
      <c r="B109" s="71" t="s">
        <v>940</v>
      </c>
      <c r="C109" s="51">
        <f>D109+E109</f>
        <v>45559374</v>
      </c>
      <c r="D109" s="51">
        <f>D110</f>
        <v>45559374</v>
      </c>
      <c r="E109" s="51"/>
      <c r="F109" s="51">
        <f>G109+H109</f>
        <v>45559374</v>
      </c>
      <c r="G109" s="51">
        <f>G110</f>
        <v>45559374</v>
      </c>
      <c r="H109" s="51">
        <f>H110</f>
        <v>0</v>
      </c>
      <c r="I109" s="51"/>
      <c r="J109" s="51"/>
      <c r="K109" s="51"/>
      <c r="L109" s="51"/>
      <c r="M109" s="51"/>
      <c r="N109" s="51"/>
      <c r="O109" s="568"/>
      <c r="P109" s="698" t="s">
        <v>317</v>
      </c>
    </row>
    <row r="110" spans="1:16" ht="45" customHeight="1">
      <c r="A110" s="50" t="s">
        <v>32</v>
      </c>
      <c r="B110" s="71" t="s">
        <v>976</v>
      </c>
      <c r="C110" s="416">
        <f>D110+E110</f>
        <v>45559374</v>
      </c>
      <c r="D110" s="416">
        <v>45559374</v>
      </c>
      <c r="E110" s="416"/>
      <c r="F110" s="416">
        <f>G110+H110</f>
        <v>45559374</v>
      </c>
      <c r="G110" s="416">
        <v>45559374</v>
      </c>
      <c r="H110" s="416"/>
      <c r="I110" s="416"/>
      <c r="J110" s="416"/>
      <c r="K110" s="416"/>
      <c r="L110" s="416">
        <f>M110+N110</f>
        <v>0</v>
      </c>
      <c r="M110" s="416">
        <f>D110-G110+J110</f>
        <v>0</v>
      </c>
      <c r="N110" s="416">
        <f>E110-H110+K110</f>
        <v>0</v>
      </c>
      <c r="O110" s="568" t="s">
        <v>238</v>
      </c>
      <c r="P110" s="698"/>
    </row>
    <row r="111" spans="1:16" ht="78.75">
      <c r="A111" s="50" t="s">
        <v>213</v>
      </c>
      <c r="B111" s="71" t="s">
        <v>942</v>
      </c>
      <c r="C111" s="416">
        <v>45559374</v>
      </c>
      <c r="D111" s="416">
        <v>45559374</v>
      </c>
      <c r="E111" s="416"/>
      <c r="F111" s="416">
        <v>45559374</v>
      </c>
      <c r="G111" s="416">
        <v>45559374</v>
      </c>
      <c r="H111" s="416"/>
      <c r="I111" s="416"/>
      <c r="J111" s="416"/>
      <c r="K111" s="416"/>
      <c r="L111" s="416">
        <v>0</v>
      </c>
      <c r="M111" s="416">
        <v>0</v>
      </c>
      <c r="N111" s="416">
        <v>0</v>
      </c>
      <c r="O111" s="568"/>
      <c r="P111" s="115"/>
    </row>
    <row r="112" spans="1:16" ht="32.25" customHeight="1">
      <c r="A112" s="49">
        <v>2</v>
      </c>
      <c r="B112" s="72" t="s">
        <v>9</v>
      </c>
      <c r="C112" s="269">
        <f>D112+E112</f>
        <v>7149166352</v>
      </c>
      <c r="D112" s="269">
        <f t="shared" ref="D112:N112" si="74">D116+D118+D123+D122+D115+D113</f>
        <v>7038330682</v>
      </c>
      <c r="E112" s="269">
        <f t="shared" si="74"/>
        <v>110835670</v>
      </c>
      <c r="F112" s="269">
        <f t="shared" si="74"/>
        <v>3609335503</v>
      </c>
      <c r="G112" s="269">
        <f t="shared" si="74"/>
        <v>3602579833</v>
      </c>
      <c r="H112" s="269">
        <f t="shared" si="74"/>
        <v>6755670</v>
      </c>
      <c r="I112" s="269">
        <f t="shared" si="74"/>
        <v>3502040511</v>
      </c>
      <c r="J112" s="269">
        <f t="shared" si="74"/>
        <v>3495284841</v>
      </c>
      <c r="K112" s="269">
        <f t="shared" si="74"/>
        <v>6755670</v>
      </c>
      <c r="L112" s="269">
        <f t="shared" si="74"/>
        <v>7041871360</v>
      </c>
      <c r="M112" s="269">
        <f t="shared" si="74"/>
        <v>6931035690</v>
      </c>
      <c r="N112" s="269">
        <f t="shared" si="74"/>
        <v>110835670</v>
      </c>
      <c r="O112" s="415"/>
      <c r="P112" s="223"/>
    </row>
    <row r="113" spans="1:16" ht="78.75">
      <c r="A113" s="50" t="s">
        <v>269</v>
      </c>
      <c r="B113" s="71" t="s">
        <v>972</v>
      </c>
      <c r="C113" s="416">
        <f>D113+E113</f>
        <v>5313550</v>
      </c>
      <c r="D113" s="416">
        <f>D114</f>
        <v>5313550</v>
      </c>
      <c r="E113" s="416">
        <f t="shared" ref="E113:N113" si="75">E114</f>
        <v>0</v>
      </c>
      <c r="F113" s="416">
        <f t="shared" si="75"/>
        <v>0</v>
      </c>
      <c r="G113" s="416">
        <f t="shared" si="75"/>
        <v>0</v>
      </c>
      <c r="H113" s="416">
        <f t="shared" si="75"/>
        <v>0</v>
      </c>
      <c r="I113" s="416">
        <f t="shared" si="75"/>
        <v>276935503</v>
      </c>
      <c r="J113" s="416">
        <f>276273503+662000</f>
        <v>276935503</v>
      </c>
      <c r="K113" s="416">
        <f t="shared" si="75"/>
        <v>0</v>
      </c>
      <c r="L113" s="416">
        <f t="shared" si="75"/>
        <v>282249053</v>
      </c>
      <c r="M113" s="416">
        <f t="shared" si="75"/>
        <v>282249053</v>
      </c>
      <c r="N113" s="416">
        <f t="shared" si="75"/>
        <v>0</v>
      </c>
      <c r="O113" s="566"/>
      <c r="P113" s="535"/>
    </row>
    <row r="114" spans="1:16" ht="78.75">
      <c r="A114" s="50" t="s">
        <v>32</v>
      </c>
      <c r="B114" s="567" t="s">
        <v>973</v>
      </c>
      <c r="C114" s="416">
        <f>D114+E114</f>
        <v>5313550</v>
      </c>
      <c r="D114" s="416">
        <v>5313550</v>
      </c>
      <c r="E114" s="416"/>
      <c r="F114" s="416"/>
      <c r="G114" s="416"/>
      <c r="H114" s="416"/>
      <c r="I114" s="416">
        <f>J114+K114</f>
        <v>276935503</v>
      </c>
      <c r="J114" s="416">
        <f>276273503+662000</f>
        <v>276935503</v>
      </c>
      <c r="K114" s="416"/>
      <c r="L114" s="416">
        <f>M114+N114</f>
        <v>282249053</v>
      </c>
      <c r="M114" s="416">
        <f>D114-G114+J114</f>
        <v>282249053</v>
      </c>
      <c r="N114" s="416">
        <f>E114-H114+K114</f>
        <v>0</v>
      </c>
      <c r="O114" s="566" t="s">
        <v>34</v>
      </c>
      <c r="P114" s="22" t="s">
        <v>974</v>
      </c>
    </row>
    <row r="115" spans="1:16" ht="47.25">
      <c r="A115" s="50" t="s">
        <v>270</v>
      </c>
      <c r="B115" s="71" t="s">
        <v>975</v>
      </c>
      <c r="C115" s="416">
        <f t="shared" ref="C115" si="76">D115+E115</f>
        <v>1413642259</v>
      </c>
      <c r="D115" s="416">
        <f>19553383+37317154+636700+250000000+427000000+11482632+520000000+102737790-19085400</f>
        <v>1349642259</v>
      </c>
      <c r="E115" s="416">
        <f>50000000+14000000</f>
        <v>64000000</v>
      </c>
      <c r="F115" s="416"/>
      <c r="G115" s="416"/>
      <c r="H115" s="416"/>
      <c r="I115" s="416">
        <f>J115+K115</f>
        <v>3225105008</v>
      </c>
      <c r="J115" s="416">
        <f>G122+G116+G120+1979086497-107294992</f>
        <v>3218349338</v>
      </c>
      <c r="K115" s="416">
        <v>6755670</v>
      </c>
      <c r="L115" s="416">
        <f t="shared" ref="L115" si="77">M115+N115</f>
        <v>4638747267</v>
      </c>
      <c r="M115" s="416">
        <f>D115-G115+J115</f>
        <v>4567991597</v>
      </c>
      <c r="N115" s="416">
        <f>E115-H115+K115</f>
        <v>70755670</v>
      </c>
      <c r="O115" s="566" t="s">
        <v>34</v>
      </c>
      <c r="P115" s="536" t="s">
        <v>291</v>
      </c>
    </row>
    <row r="116" spans="1:16" ht="31.5">
      <c r="A116" s="50" t="s">
        <v>273</v>
      </c>
      <c r="B116" s="71" t="s">
        <v>943</v>
      </c>
      <c r="C116" s="51">
        <f>D116+E116</f>
        <v>824348543</v>
      </c>
      <c r="D116" s="51">
        <f>D117</f>
        <v>800512873</v>
      </c>
      <c r="E116" s="51">
        <f t="shared" ref="E116:N116" si="78">E117</f>
        <v>23835670</v>
      </c>
      <c r="F116" s="51">
        <f t="shared" si="78"/>
        <v>19913503</v>
      </c>
      <c r="G116" s="51">
        <f t="shared" si="78"/>
        <v>19357833</v>
      </c>
      <c r="H116" s="51">
        <f t="shared" si="78"/>
        <v>555670</v>
      </c>
      <c r="I116" s="51">
        <f t="shared" si="78"/>
        <v>0</v>
      </c>
      <c r="J116" s="51">
        <f t="shared" si="78"/>
        <v>0</v>
      </c>
      <c r="K116" s="51">
        <f t="shared" si="78"/>
        <v>0</v>
      </c>
      <c r="L116" s="51">
        <f t="shared" si="78"/>
        <v>804435040</v>
      </c>
      <c r="M116" s="51">
        <f t="shared" si="78"/>
        <v>781155040</v>
      </c>
      <c r="N116" s="51">
        <f t="shared" si="78"/>
        <v>23280000</v>
      </c>
      <c r="O116" s="417"/>
      <c r="P116" s="232"/>
    </row>
    <row r="117" spans="1:16" ht="31.5">
      <c r="A117" s="50" t="s">
        <v>32</v>
      </c>
      <c r="B117" s="71" t="s">
        <v>977</v>
      </c>
      <c r="C117" s="51">
        <v>824348543</v>
      </c>
      <c r="D117" s="51">
        <v>800512873</v>
      </c>
      <c r="E117" s="51">
        <v>23835670</v>
      </c>
      <c r="F117" s="51">
        <v>19913503</v>
      </c>
      <c r="G117" s="51">
        <v>19357833</v>
      </c>
      <c r="H117" s="51">
        <v>555670</v>
      </c>
      <c r="I117" s="51"/>
      <c r="J117" s="51"/>
      <c r="K117" s="51"/>
      <c r="L117" s="51">
        <v>804435040</v>
      </c>
      <c r="M117" s="51">
        <v>781155040</v>
      </c>
      <c r="N117" s="51">
        <v>23280000</v>
      </c>
      <c r="O117" s="417" t="s">
        <v>34</v>
      </c>
      <c r="P117" s="232" t="s">
        <v>317</v>
      </c>
    </row>
    <row r="118" spans="1:16" ht="31.5">
      <c r="A118" s="50" t="s">
        <v>312</v>
      </c>
      <c r="B118" s="71" t="s">
        <v>940</v>
      </c>
      <c r="C118" s="51">
        <f>D118</f>
        <v>4122200000</v>
      </c>
      <c r="D118" s="51">
        <f>D119</f>
        <v>4122200000</v>
      </c>
      <c r="E118" s="51">
        <f t="shared" ref="E118:N118" si="79">E119</f>
        <v>0</v>
      </c>
      <c r="F118" s="51">
        <f t="shared" si="79"/>
        <v>3382560000</v>
      </c>
      <c r="G118" s="51">
        <f t="shared" si="79"/>
        <v>3382560000</v>
      </c>
      <c r="H118" s="51">
        <f t="shared" si="79"/>
        <v>0</v>
      </c>
      <c r="I118" s="51">
        <f t="shared" si="79"/>
        <v>0</v>
      </c>
      <c r="J118" s="51">
        <f t="shared" si="79"/>
        <v>0</v>
      </c>
      <c r="K118" s="51">
        <f t="shared" si="79"/>
        <v>0</v>
      </c>
      <c r="L118" s="51">
        <f t="shared" si="79"/>
        <v>739640000</v>
      </c>
      <c r="M118" s="51">
        <f t="shared" si="79"/>
        <v>739640000</v>
      </c>
      <c r="N118" s="51">
        <f t="shared" si="79"/>
        <v>0</v>
      </c>
      <c r="O118" s="568"/>
      <c r="P118" s="232"/>
    </row>
    <row r="119" spans="1:16" ht="47.25">
      <c r="A119" s="50" t="s">
        <v>32</v>
      </c>
      <c r="B119" s="71" t="s">
        <v>976</v>
      </c>
      <c r="C119" s="416">
        <f>C120+C121</f>
        <v>4122200000</v>
      </c>
      <c r="D119" s="416">
        <f>D120+D121</f>
        <v>4122200000</v>
      </c>
      <c r="E119" s="416">
        <f>E120+E121</f>
        <v>0</v>
      </c>
      <c r="F119" s="416">
        <f>G119+H119</f>
        <v>3382560000</v>
      </c>
      <c r="G119" s="569">
        <f>G120+G121</f>
        <v>3382560000</v>
      </c>
      <c r="H119" s="569"/>
      <c r="I119" s="569"/>
      <c r="J119" s="569"/>
      <c r="K119" s="569"/>
      <c r="L119" s="569">
        <f>L120+L121</f>
        <v>739640000</v>
      </c>
      <c r="M119" s="569">
        <f>M120+M121</f>
        <v>739640000</v>
      </c>
      <c r="N119" s="569">
        <f t="shared" ref="N119" si="80">E119-H119+K119</f>
        <v>0</v>
      </c>
      <c r="O119" s="568" t="s">
        <v>238</v>
      </c>
      <c r="P119" s="232"/>
    </row>
    <row r="120" spans="1:16" ht="39.75" customHeight="1">
      <c r="A120" s="50" t="s">
        <v>213</v>
      </c>
      <c r="B120" s="71" t="s">
        <v>945</v>
      </c>
      <c r="C120" s="416">
        <f>D120+E120</f>
        <v>1680200000</v>
      </c>
      <c r="D120" s="416">
        <v>1680200000</v>
      </c>
      <c r="E120" s="416"/>
      <c r="F120" s="416">
        <f>G120+H120</f>
        <v>1127200000</v>
      </c>
      <c r="G120" s="569">
        <f>1127200000</f>
        <v>1127200000</v>
      </c>
      <c r="H120" s="569"/>
      <c r="I120" s="569"/>
      <c r="J120" s="569"/>
      <c r="K120" s="569"/>
      <c r="L120" s="569">
        <f>M120+N120</f>
        <v>553000000</v>
      </c>
      <c r="M120" s="569">
        <f>D120-G120+J120</f>
        <v>553000000</v>
      </c>
      <c r="N120" s="569">
        <f>E120-H120+K120</f>
        <v>0</v>
      </c>
      <c r="O120" s="568"/>
      <c r="P120" s="69" t="s">
        <v>946</v>
      </c>
    </row>
    <row r="121" spans="1:16" ht="91.5" customHeight="1">
      <c r="A121" s="50" t="s">
        <v>213</v>
      </c>
      <c r="B121" s="71" t="s">
        <v>942</v>
      </c>
      <c r="C121" s="416">
        <v>2442000000</v>
      </c>
      <c r="D121" s="416">
        <v>2442000000</v>
      </c>
      <c r="E121" s="416"/>
      <c r="F121" s="416">
        <f>G121+H121</f>
        <v>2255360000</v>
      </c>
      <c r="G121" s="416">
        <v>2255360000</v>
      </c>
      <c r="H121" s="416"/>
      <c r="I121" s="416"/>
      <c r="J121" s="416"/>
      <c r="K121" s="416"/>
      <c r="L121" s="416">
        <f>M121+N121</f>
        <v>186640000</v>
      </c>
      <c r="M121" s="416">
        <f>D121-G121+J121</f>
        <v>186640000</v>
      </c>
      <c r="N121" s="416">
        <f>E121-H121+K121</f>
        <v>0</v>
      </c>
      <c r="O121" s="568"/>
      <c r="P121" s="232" t="s">
        <v>978</v>
      </c>
    </row>
    <row r="122" spans="1:16" ht="50.25" customHeight="1">
      <c r="A122" s="50" t="s">
        <v>979</v>
      </c>
      <c r="B122" s="71" t="s">
        <v>929</v>
      </c>
      <c r="C122" s="416">
        <f t="shared" ref="C122:C130" si="81">D122+E122</f>
        <v>783000000</v>
      </c>
      <c r="D122" s="416">
        <f>200000000+160000000+400000000</f>
        <v>760000000</v>
      </c>
      <c r="E122" s="416">
        <f>6200000+4800000+12000000</f>
        <v>23000000</v>
      </c>
      <c r="F122" s="416">
        <v>206200000</v>
      </c>
      <c r="G122" s="416">
        <v>200000000</v>
      </c>
      <c r="H122" s="416">
        <v>6200000</v>
      </c>
      <c r="I122" s="416"/>
      <c r="J122" s="416"/>
      <c r="K122" s="416"/>
      <c r="L122" s="416">
        <f>M122+N122</f>
        <v>576800000</v>
      </c>
      <c r="M122" s="416">
        <f t="shared" ref="M122:N122" si="82">D122-G122+J122</f>
        <v>560000000</v>
      </c>
      <c r="N122" s="416">
        <f t="shared" si="82"/>
        <v>16800000</v>
      </c>
      <c r="O122" s="566" t="s">
        <v>34</v>
      </c>
      <c r="P122" s="232" t="s">
        <v>317</v>
      </c>
    </row>
    <row r="123" spans="1:16" ht="31.5">
      <c r="A123" s="50" t="s">
        <v>980</v>
      </c>
      <c r="B123" s="71" t="s">
        <v>947</v>
      </c>
      <c r="C123" s="416">
        <f t="shared" si="81"/>
        <v>662000</v>
      </c>
      <c r="D123" s="416">
        <f>D124</f>
        <v>662000</v>
      </c>
      <c r="E123" s="416">
        <f t="shared" ref="E123:N123" si="83">E124</f>
        <v>0</v>
      </c>
      <c r="F123" s="416">
        <f t="shared" si="83"/>
        <v>662000</v>
      </c>
      <c r="G123" s="416">
        <f t="shared" si="83"/>
        <v>662000</v>
      </c>
      <c r="H123" s="416">
        <f t="shared" si="83"/>
        <v>0</v>
      </c>
      <c r="I123" s="416">
        <f t="shared" si="83"/>
        <v>0</v>
      </c>
      <c r="J123" s="416">
        <f t="shared" si="83"/>
        <v>0</v>
      </c>
      <c r="K123" s="416">
        <f t="shared" si="83"/>
        <v>0</v>
      </c>
      <c r="L123" s="416">
        <f t="shared" si="83"/>
        <v>0</v>
      </c>
      <c r="M123" s="416">
        <f t="shared" si="83"/>
        <v>0</v>
      </c>
      <c r="N123" s="416">
        <f t="shared" si="83"/>
        <v>0</v>
      </c>
      <c r="O123" s="566"/>
      <c r="P123" s="215"/>
    </row>
    <row r="124" spans="1:16" ht="31.5">
      <c r="A124" s="50" t="s">
        <v>32</v>
      </c>
      <c r="B124" s="71" t="s">
        <v>307</v>
      </c>
      <c r="C124" s="416">
        <f t="shared" si="81"/>
        <v>662000</v>
      </c>
      <c r="D124" s="416">
        <v>662000</v>
      </c>
      <c r="E124" s="416"/>
      <c r="F124" s="416">
        <f>G124+H124</f>
        <v>662000</v>
      </c>
      <c r="G124" s="416">
        <v>662000</v>
      </c>
      <c r="H124" s="416"/>
      <c r="I124" s="416"/>
      <c r="J124" s="416"/>
      <c r="K124" s="416"/>
      <c r="L124" s="416">
        <f>M124+N124</f>
        <v>0</v>
      </c>
      <c r="M124" s="416">
        <f>D124-G124+J124</f>
        <v>0</v>
      </c>
      <c r="N124" s="416">
        <f>E124-H124+K124</f>
        <v>0</v>
      </c>
      <c r="O124" s="566" t="s">
        <v>238</v>
      </c>
      <c r="P124" s="215" t="s">
        <v>948</v>
      </c>
    </row>
    <row r="125" spans="1:16" ht="22.5" customHeight="1">
      <c r="A125" s="49">
        <v>3</v>
      </c>
      <c r="B125" s="72" t="s">
        <v>21</v>
      </c>
      <c r="C125" s="270">
        <f t="shared" si="81"/>
        <v>23391000000</v>
      </c>
      <c r="D125" s="270">
        <f t="shared" ref="D125:N125" si="84">D131+D136+D137+D139+D126+D128+D129</f>
        <v>22709000000</v>
      </c>
      <c r="E125" s="270">
        <f t="shared" si="84"/>
        <v>682000000</v>
      </c>
      <c r="F125" s="270">
        <f t="shared" si="84"/>
        <v>2855675000</v>
      </c>
      <c r="G125" s="270">
        <f t="shared" si="84"/>
        <v>2820875000</v>
      </c>
      <c r="H125" s="270">
        <f t="shared" si="84"/>
        <v>34800000</v>
      </c>
      <c r="I125" s="270">
        <f t="shared" si="84"/>
        <v>2855675000</v>
      </c>
      <c r="J125" s="270">
        <f t="shared" si="84"/>
        <v>2820875000</v>
      </c>
      <c r="K125" s="270">
        <f t="shared" si="84"/>
        <v>34800000</v>
      </c>
      <c r="L125" s="270">
        <f t="shared" si="84"/>
        <v>23391000000</v>
      </c>
      <c r="M125" s="270">
        <f t="shared" si="84"/>
        <v>22709000000</v>
      </c>
      <c r="N125" s="270">
        <f t="shared" si="84"/>
        <v>682000000</v>
      </c>
      <c r="O125" s="582"/>
      <c r="P125" s="223"/>
    </row>
    <row r="126" spans="1:16" ht="78.75">
      <c r="A126" s="50" t="s">
        <v>877</v>
      </c>
      <c r="B126" s="71" t="s">
        <v>972</v>
      </c>
      <c r="C126" s="416">
        <f t="shared" si="81"/>
        <v>6566000000</v>
      </c>
      <c r="D126" s="416">
        <f>D127</f>
        <v>6375000000</v>
      </c>
      <c r="E126" s="416">
        <f t="shared" ref="E126:N126" si="85">E127</f>
        <v>191000000</v>
      </c>
      <c r="F126" s="416">
        <f t="shared" si="85"/>
        <v>0</v>
      </c>
      <c r="G126" s="416">
        <f t="shared" si="85"/>
        <v>0</v>
      </c>
      <c r="H126" s="416">
        <f t="shared" si="85"/>
        <v>0</v>
      </c>
      <c r="I126" s="416">
        <f t="shared" si="85"/>
        <v>1780125000</v>
      </c>
      <c r="J126" s="416">
        <f t="shared" si="85"/>
        <v>1769925000</v>
      </c>
      <c r="K126" s="416">
        <f t="shared" si="85"/>
        <v>10200000</v>
      </c>
      <c r="L126" s="416">
        <f t="shared" si="85"/>
        <v>8346125000</v>
      </c>
      <c r="M126" s="416">
        <f t="shared" si="85"/>
        <v>8144925000</v>
      </c>
      <c r="N126" s="416">
        <f t="shared" si="85"/>
        <v>201200000</v>
      </c>
      <c r="O126" s="566"/>
      <c r="P126" s="535"/>
    </row>
    <row r="127" spans="1:16" ht="78.75">
      <c r="A127" s="50" t="s">
        <v>32</v>
      </c>
      <c r="B127" s="567" t="s">
        <v>973</v>
      </c>
      <c r="C127" s="416">
        <f t="shared" si="81"/>
        <v>6566000000</v>
      </c>
      <c r="D127" s="416">
        <v>6375000000</v>
      </c>
      <c r="E127" s="416">
        <v>191000000</v>
      </c>
      <c r="F127" s="416"/>
      <c r="G127" s="416"/>
      <c r="H127" s="416"/>
      <c r="I127" s="416">
        <f>J127+K127</f>
        <v>1780125000</v>
      </c>
      <c r="J127" s="416">
        <f>G134+G135+G137+40000000+12900000</f>
        <v>1769925000</v>
      </c>
      <c r="K127" s="416">
        <f>10200000</f>
        <v>10200000</v>
      </c>
      <c r="L127" s="416">
        <f t="shared" ref="L127:L130" si="86">M127+N127</f>
        <v>8346125000</v>
      </c>
      <c r="M127" s="416">
        <f>D127-G127+J127</f>
        <v>8144925000</v>
      </c>
      <c r="N127" s="416">
        <f>E127-H127+K127</f>
        <v>201200000</v>
      </c>
      <c r="O127" s="566" t="s">
        <v>34</v>
      </c>
      <c r="P127" s="22" t="s">
        <v>974</v>
      </c>
    </row>
    <row r="128" spans="1:16" ht="47.25">
      <c r="A128" s="50" t="s">
        <v>953</v>
      </c>
      <c r="B128" s="71" t="s">
        <v>981</v>
      </c>
      <c r="C128" s="416">
        <f t="shared" si="81"/>
        <v>6442000000</v>
      </c>
      <c r="D128" s="416">
        <v>6254000000</v>
      </c>
      <c r="E128" s="416">
        <v>188000000</v>
      </c>
      <c r="F128" s="416"/>
      <c r="G128" s="416"/>
      <c r="H128" s="416"/>
      <c r="I128" s="416">
        <f>J128+K128</f>
        <v>831700000</v>
      </c>
      <c r="J128" s="416">
        <f>400000000+420000000-12900000</f>
        <v>807100000</v>
      </c>
      <c r="K128" s="416">
        <f>12000000+12600000</f>
        <v>24600000</v>
      </c>
      <c r="L128" s="416">
        <f t="shared" si="86"/>
        <v>7273700000</v>
      </c>
      <c r="M128" s="416">
        <f>D128-G128+J128</f>
        <v>7061100000</v>
      </c>
      <c r="N128" s="416">
        <f>E128-H128+K128</f>
        <v>212600000</v>
      </c>
      <c r="O128" s="566" t="s">
        <v>34</v>
      </c>
      <c r="P128" s="536" t="s">
        <v>291</v>
      </c>
    </row>
    <row r="129" spans="1:16" ht="31.5">
      <c r="A129" s="50" t="s">
        <v>954</v>
      </c>
      <c r="B129" s="71" t="s">
        <v>943</v>
      </c>
      <c r="C129" s="416">
        <f t="shared" si="81"/>
        <v>525000000</v>
      </c>
      <c r="D129" s="416">
        <f>D130</f>
        <v>509000000</v>
      </c>
      <c r="E129" s="416">
        <f t="shared" ref="E129:N129" si="87">E130</f>
        <v>16000000</v>
      </c>
      <c r="F129" s="416">
        <f t="shared" si="87"/>
        <v>0</v>
      </c>
      <c r="G129" s="416">
        <f t="shared" si="87"/>
        <v>0</v>
      </c>
      <c r="H129" s="416">
        <f t="shared" si="87"/>
        <v>0</v>
      </c>
      <c r="I129" s="416">
        <f t="shared" si="87"/>
        <v>243850000</v>
      </c>
      <c r="J129" s="416">
        <f t="shared" si="87"/>
        <v>243850000</v>
      </c>
      <c r="K129" s="416">
        <f t="shared" si="87"/>
        <v>0</v>
      </c>
      <c r="L129" s="416">
        <f t="shared" si="87"/>
        <v>768850000</v>
      </c>
      <c r="M129" s="416">
        <f t="shared" si="87"/>
        <v>752850000</v>
      </c>
      <c r="N129" s="416">
        <f t="shared" si="87"/>
        <v>16000000</v>
      </c>
      <c r="O129" s="566"/>
      <c r="P129" s="698" t="s">
        <v>982</v>
      </c>
    </row>
    <row r="130" spans="1:16">
      <c r="A130" s="50" t="s">
        <v>32</v>
      </c>
      <c r="B130" s="71" t="s">
        <v>983</v>
      </c>
      <c r="C130" s="416">
        <f t="shared" si="81"/>
        <v>525000000</v>
      </c>
      <c r="D130" s="416">
        <v>509000000</v>
      </c>
      <c r="E130" s="416">
        <v>16000000</v>
      </c>
      <c r="F130" s="416"/>
      <c r="G130" s="416"/>
      <c r="H130" s="416"/>
      <c r="I130" s="416">
        <f>J130+K130</f>
        <v>243850000</v>
      </c>
      <c r="J130" s="416">
        <v>243850000</v>
      </c>
      <c r="K130" s="416">
        <v>0</v>
      </c>
      <c r="L130" s="416">
        <f t="shared" si="86"/>
        <v>768850000</v>
      </c>
      <c r="M130" s="416">
        <f>D130-G130+J130</f>
        <v>752850000</v>
      </c>
      <c r="N130" s="416">
        <f>E130-H130+K130</f>
        <v>16000000</v>
      </c>
      <c r="O130" s="566" t="s">
        <v>984</v>
      </c>
      <c r="P130" s="698"/>
    </row>
    <row r="131" spans="1:16" ht="31.5">
      <c r="A131" s="50" t="s">
        <v>956</v>
      </c>
      <c r="B131" s="71" t="s">
        <v>940</v>
      </c>
      <c r="C131" s="416">
        <f t="shared" ref="C131:N131" si="88">C132+C135</f>
        <v>3458000000</v>
      </c>
      <c r="D131" s="416">
        <f t="shared" si="88"/>
        <v>3357000000</v>
      </c>
      <c r="E131" s="416">
        <f t="shared" si="88"/>
        <v>101000000</v>
      </c>
      <c r="F131" s="416">
        <f t="shared" si="88"/>
        <v>1636000000</v>
      </c>
      <c r="G131" s="416">
        <f t="shared" si="88"/>
        <v>1627000000</v>
      </c>
      <c r="H131" s="416">
        <f t="shared" si="88"/>
        <v>9000000</v>
      </c>
      <c r="I131" s="416">
        <f t="shared" si="88"/>
        <v>0</v>
      </c>
      <c r="J131" s="416">
        <f t="shared" si="88"/>
        <v>0</v>
      </c>
      <c r="K131" s="416">
        <f t="shared" si="88"/>
        <v>0</v>
      </c>
      <c r="L131" s="416">
        <f t="shared" si="88"/>
        <v>1822000000</v>
      </c>
      <c r="M131" s="416">
        <f t="shared" si="88"/>
        <v>1730000000</v>
      </c>
      <c r="N131" s="416">
        <f t="shared" si="88"/>
        <v>92000000</v>
      </c>
      <c r="O131" s="568"/>
      <c r="P131" s="232"/>
    </row>
    <row r="132" spans="1:16" ht="47.25">
      <c r="A132" s="50" t="s">
        <v>32</v>
      </c>
      <c r="B132" s="71" t="s">
        <v>976</v>
      </c>
      <c r="C132" s="416">
        <f>D132+E132</f>
        <v>2566000000</v>
      </c>
      <c r="D132" s="416">
        <f>D134</f>
        <v>2491000000</v>
      </c>
      <c r="E132" s="416">
        <f t="shared" ref="E132:N132" si="89">E134</f>
        <v>75000000</v>
      </c>
      <c r="F132" s="416">
        <f t="shared" si="89"/>
        <v>1336000000</v>
      </c>
      <c r="G132" s="416">
        <f t="shared" si="89"/>
        <v>1336000000</v>
      </c>
      <c r="H132" s="416">
        <f t="shared" si="89"/>
        <v>0</v>
      </c>
      <c r="I132" s="416">
        <f t="shared" si="89"/>
        <v>0</v>
      </c>
      <c r="J132" s="416">
        <f t="shared" si="89"/>
        <v>0</v>
      </c>
      <c r="K132" s="416">
        <f t="shared" si="89"/>
        <v>0</v>
      </c>
      <c r="L132" s="416">
        <f t="shared" si="89"/>
        <v>1230000000</v>
      </c>
      <c r="M132" s="416">
        <f t="shared" si="89"/>
        <v>1155000000</v>
      </c>
      <c r="N132" s="416">
        <f t="shared" si="89"/>
        <v>75000000</v>
      </c>
      <c r="O132" s="568"/>
      <c r="P132" s="232"/>
    </row>
    <row r="133" spans="1:16">
      <c r="A133" s="50"/>
      <c r="B133" s="71"/>
      <c r="C133" s="416"/>
      <c r="D133" s="416"/>
      <c r="E133" s="416"/>
      <c r="F133" s="416"/>
      <c r="G133" s="416"/>
      <c r="H133" s="416"/>
      <c r="I133" s="416"/>
      <c r="J133" s="416"/>
      <c r="K133" s="416"/>
      <c r="L133" s="416"/>
      <c r="M133" s="416"/>
      <c r="N133" s="416"/>
      <c r="O133" s="568"/>
      <c r="P133" s="69"/>
    </row>
    <row r="134" spans="1:16" ht="78.75">
      <c r="A134" s="50" t="s">
        <v>213</v>
      </c>
      <c r="B134" s="71" t="s">
        <v>942</v>
      </c>
      <c r="C134" s="416">
        <v>2566000000</v>
      </c>
      <c r="D134" s="416">
        <v>2491000000</v>
      </c>
      <c r="E134" s="416">
        <v>75000000</v>
      </c>
      <c r="F134" s="416">
        <v>1336000000</v>
      </c>
      <c r="G134" s="416">
        <v>1336000000</v>
      </c>
      <c r="H134" s="416">
        <v>0</v>
      </c>
      <c r="I134" s="416"/>
      <c r="J134" s="416"/>
      <c r="K134" s="416"/>
      <c r="L134" s="416">
        <v>1230000000</v>
      </c>
      <c r="M134" s="416">
        <v>1155000000</v>
      </c>
      <c r="N134" s="416">
        <v>75000000</v>
      </c>
      <c r="O134" s="568" t="s">
        <v>238</v>
      </c>
      <c r="P134" s="537" t="s">
        <v>950</v>
      </c>
    </row>
    <row r="135" spans="1:16" ht="47.25">
      <c r="A135" s="50" t="s">
        <v>32</v>
      </c>
      <c r="B135" s="71" t="s">
        <v>985</v>
      </c>
      <c r="C135" s="566">
        <f>D135+E135</f>
        <v>892000000</v>
      </c>
      <c r="D135" s="566">
        <v>866000000</v>
      </c>
      <c r="E135" s="570">
        <v>26000000</v>
      </c>
      <c r="F135" s="570">
        <f>G135+H135</f>
        <v>300000000</v>
      </c>
      <c r="G135" s="570">
        <v>291000000</v>
      </c>
      <c r="H135" s="566">
        <v>9000000</v>
      </c>
      <c r="I135" s="30"/>
      <c r="J135" s="30"/>
      <c r="K135" s="30"/>
      <c r="L135" s="566">
        <f xml:space="preserve"> M135+N135</f>
        <v>592000000</v>
      </c>
      <c r="M135" s="566">
        <f t="shared" ref="M135:N140" si="90">D135-G135+J135</f>
        <v>575000000</v>
      </c>
      <c r="N135" s="566">
        <f t="shared" si="90"/>
        <v>17000000</v>
      </c>
      <c r="O135" s="566" t="s">
        <v>34</v>
      </c>
      <c r="P135" s="69" t="s">
        <v>952</v>
      </c>
    </row>
    <row r="136" spans="1:16" ht="63">
      <c r="A136" s="50" t="s">
        <v>986</v>
      </c>
      <c r="B136" s="71" t="s">
        <v>929</v>
      </c>
      <c r="C136" s="569">
        <f t="shared" ref="C136:C140" si="91">D136+E136</f>
        <v>5504000000</v>
      </c>
      <c r="D136" s="569">
        <v>5344000000</v>
      </c>
      <c r="E136" s="569">
        <v>160000000</v>
      </c>
      <c r="F136" s="569">
        <f>G136+H136</f>
        <v>885800000</v>
      </c>
      <c r="G136" s="569">
        <f>900000000-40000000</f>
        <v>860000000</v>
      </c>
      <c r="H136" s="569">
        <f>27000000-1200000</f>
        <v>25800000</v>
      </c>
      <c r="I136" s="569"/>
      <c r="J136" s="569"/>
      <c r="K136" s="569"/>
      <c r="L136" s="569">
        <f>M136+N136</f>
        <v>4618200000</v>
      </c>
      <c r="M136" s="569">
        <f t="shared" si="90"/>
        <v>4484000000</v>
      </c>
      <c r="N136" s="569">
        <f t="shared" si="90"/>
        <v>134200000</v>
      </c>
      <c r="O136" s="566" t="s">
        <v>34</v>
      </c>
      <c r="P136" s="537" t="s">
        <v>987</v>
      </c>
    </row>
    <row r="137" spans="1:16" ht="31.5">
      <c r="A137" s="50" t="s">
        <v>988</v>
      </c>
      <c r="B137" s="71" t="s">
        <v>298</v>
      </c>
      <c r="C137" s="569">
        <f t="shared" si="91"/>
        <v>147000000</v>
      </c>
      <c r="D137" s="569">
        <f>D138</f>
        <v>143000000</v>
      </c>
      <c r="E137" s="569">
        <f t="shared" ref="E137:N137" si="92">E138</f>
        <v>4000000</v>
      </c>
      <c r="F137" s="569">
        <f t="shared" si="92"/>
        <v>90025000</v>
      </c>
      <c r="G137" s="569">
        <f t="shared" si="92"/>
        <v>90025000</v>
      </c>
      <c r="H137" s="569">
        <f t="shared" si="92"/>
        <v>0</v>
      </c>
      <c r="I137" s="569">
        <f t="shared" si="92"/>
        <v>0</v>
      </c>
      <c r="J137" s="569">
        <f t="shared" si="92"/>
        <v>0</v>
      </c>
      <c r="K137" s="569">
        <f t="shared" si="92"/>
        <v>0</v>
      </c>
      <c r="L137" s="569">
        <f t="shared" si="92"/>
        <v>56975000</v>
      </c>
      <c r="M137" s="569">
        <f t="shared" si="92"/>
        <v>52975000</v>
      </c>
      <c r="N137" s="569">
        <f t="shared" si="92"/>
        <v>4000000</v>
      </c>
      <c r="O137" s="571"/>
      <c r="P137" s="22"/>
    </row>
    <row r="138" spans="1:16" ht="47.25">
      <c r="A138" s="50" t="s">
        <v>32</v>
      </c>
      <c r="B138" s="71" t="s">
        <v>989</v>
      </c>
      <c r="C138" s="569">
        <f t="shared" si="91"/>
        <v>147000000</v>
      </c>
      <c r="D138" s="569">
        <v>143000000</v>
      </c>
      <c r="E138" s="569">
        <v>4000000</v>
      </c>
      <c r="F138" s="569">
        <f>G138+H138</f>
        <v>90025000</v>
      </c>
      <c r="G138" s="569">
        <v>90025000</v>
      </c>
      <c r="H138" s="569"/>
      <c r="I138" s="569"/>
      <c r="J138" s="569"/>
      <c r="K138" s="569"/>
      <c r="L138" s="569">
        <f>M138+N138</f>
        <v>56975000</v>
      </c>
      <c r="M138" s="569">
        <f>D138-G138+J138</f>
        <v>52975000</v>
      </c>
      <c r="N138" s="569">
        <f>E138-H138+K138</f>
        <v>4000000</v>
      </c>
      <c r="O138" s="571" t="s">
        <v>299</v>
      </c>
      <c r="P138" s="22" t="s">
        <v>990</v>
      </c>
    </row>
    <row r="139" spans="1:16" ht="31.5">
      <c r="A139" s="50" t="s">
        <v>991</v>
      </c>
      <c r="B139" s="71" t="s">
        <v>947</v>
      </c>
      <c r="C139" s="569">
        <f t="shared" si="91"/>
        <v>749000000</v>
      </c>
      <c r="D139" s="569">
        <f>D140</f>
        <v>727000000</v>
      </c>
      <c r="E139" s="569">
        <f t="shared" ref="E139:N139" si="93">E140</f>
        <v>22000000</v>
      </c>
      <c r="F139" s="569">
        <f t="shared" si="93"/>
        <v>243850000</v>
      </c>
      <c r="G139" s="569">
        <f t="shared" si="93"/>
        <v>243850000</v>
      </c>
      <c r="H139" s="569">
        <f t="shared" si="93"/>
        <v>0</v>
      </c>
      <c r="I139" s="569">
        <f t="shared" si="93"/>
        <v>0</v>
      </c>
      <c r="J139" s="569">
        <f t="shared" si="93"/>
        <v>0</v>
      </c>
      <c r="K139" s="569">
        <f t="shared" si="93"/>
        <v>0</v>
      </c>
      <c r="L139" s="569">
        <f t="shared" si="93"/>
        <v>505150000</v>
      </c>
      <c r="M139" s="569">
        <f t="shared" si="93"/>
        <v>483150000</v>
      </c>
      <c r="N139" s="569">
        <f t="shared" si="93"/>
        <v>22000000</v>
      </c>
      <c r="O139" s="583"/>
      <c r="P139" s="22"/>
    </row>
    <row r="140" spans="1:16" ht="47.25">
      <c r="A140" s="276" t="s">
        <v>32</v>
      </c>
      <c r="B140" s="572" t="s">
        <v>307</v>
      </c>
      <c r="C140" s="573">
        <f t="shared" si="91"/>
        <v>749000000</v>
      </c>
      <c r="D140" s="573">
        <v>727000000</v>
      </c>
      <c r="E140" s="573">
        <v>22000000</v>
      </c>
      <c r="F140" s="573">
        <f>G140+H140</f>
        <v>243850000</v>
      </c>
      <c r="G140" s="573">
        <v>243850000</v>
      </c>
      <c r="H140" s="573">
        <v>0</v>
      </c>
      <c r="I140" s="573"/>
      <c r="J140" s="573"/>
      <c r="K140" s="573"/>
      <c r="L140" s="573">
        <f>M140+N140</f>
        <v>505150000</v>
      </c>
      <c r="M140" s="573">
        <f t="shared" si="90"/>
        <v>483150000</v>
      </c>
      <c r="N140" s="573">
        <f t="shared" si="90"/>
        <v>22000000</v>
      </c>
      <c r="O140" s="584" t="s">
        <v>238</v>
      </c>
      <c r="P140" s="87" t="s">
        <v>957</v>
      </c>
    </row>
  </sheetData>
  <mergeCells count="23">
    <mergeCell ref="P109:P110"/>
    <mergeCell ref="P129:P130"/>
    <mergeCell ref="N1:O1"/>
    <mergeCell ref="N4:O4"/>
    <mergeCell ref="A2:P2"/>
    <mergeCell ref="A3:P3"/>
    <mergeCell ref="A5:A7"/>
    <mergeCell ref="B5:B7"/>
    <mergeCell ref="C5:E6"/>
    <mergeCell ref="F5:K5"/>
    <mergeCell ref="L5:N6"/>
    <mergeCell ref="O5:O7"/>
    <mergeCell ref="P5:P7"/>
    <mergeCell ref="F6:H6"/>
    <mergeCell ref="I6:K6"/>
    <mergeCell ref="P77:P78"/>
    <mergeCell ref="O90:O91"/>
    <mergeCell ref="P23:P24"/>
    <mergeCell ref="P26:P27"/>
    <mergeCell ref="P31:P40"/>
    <mergeCell ref="P43:P47"/>
    <mergeCell ref="P74:P75"/>
    <mergeCell ref="P90:P91"/>
  </mergeCells>
  <pageMargins left="0.51181102362204722" right="0.31496062992125984" top="0.43307086614173229" bottom="0.35433070866141736" header="0.31496062992125984" footer="0.31496062992125984"/>
  <pageSetup paperSize="9" scale="52" fitToHeight="0" orientation="landscape" verticalDpi="0"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P43"/>
  <sheetViews>
    <sheetView zoomScale="85" zoomScaleNormal="85" workbookViewId="0">
      <selection activeCell="Q9" sqref="Q9"/>
    </sheetView>
  </sheetViews>
  <sheetFormatPr defaultColWidth="9" defaultRowHeight="15.75"/>
  <cols>
    <col min="1" max="1" width="5.625" style="89" customWidth="1"/>
    <col min="2" max="2" width="44.625" style="86" customWidth="1"/>
    <col min="3" max="6" width="15.875" style="86" customWidth="1"/>
    <col min="7" max="7" width="15.875" style="90" customWidth="1"/>
    <col min="8" max="14" width="15.875" style="86" customWidth="1"/>
    <col min="15" max="15" width="12.375" style="89" customWidth="1"/>
    <col min="16" max="16" width="36.5" style="117" hidden="1" customWidth="1"/>
    <col min="17" max="16384" width="9" style="86"/>
  </cols>
  <sheetData>
    <row r="1" spans="1:16" ht="25.5" customHeight="1">
      <c r="N1" s="695" t="s">
        <v>339</v>
      </c>
      <c r="O1" s="695"/>
      <c r="P1" s="58"/>
    </row>
    <row r="2" spans="1:16" ht="30" customHeight="1">
      <c r="A2" s="718" t="s">
        <v>150</v>
      </c>
      <c r="B2" s="718"/>
      <c r="C2" s="718"/>
      <c r="D2" s="718"/>
      <c r="E2" s="718"/>
      <c r="F2" s="718"/>
      <c r="G2" s="718"/>
      <c r="H2" s="718"/>
      <c r="I2" s="718"/>
      <c r="J2" s="718"/>
      <c r="K2" s="718"/>
      <c r="L2" s="718"/>
      <c r="M2" s="718"/>
      <c r="N2" s="718"/>
      <c r="O2" s="718"/>
      <c r="P2" s="718"/>
    </row>
    <row r="3" spans="1:16" ht="25.5" customHeight="1">
      <c r="A3" s="704" t="s">
        <v>151</v>
      </c>
      <c r="B3" s="704"/>
      <c r="C3" s="704"/>
      <c r="D3" s="704"/>
      <c r="E3" s="704"/>
      <c r="F3" s="704"/>
      <c r="G3" s="704"/>
      <c r="H3" s="704"/>
      <c r="I3" s="704"/>
      <c r="J3" s="704"/>
      <c r="K3" s="704"/>
      <c r="L3" s="704"/>
      <c r="M3" s="704"/>
      <c r="N3" s="704"/>
      <c r="O3" s="704"/>
      <c r="P3" s="704"/>
    </row>
    <row r="4" spans="1:16" ht="26.25" customHeight="1">
      <c r="A4" s="91"/>
      <c r="B4" s="92"/>
      <c r="C4" s="91"/>
      <c r="D4" s="91"/>
      <c r="E4" s="91"/>
      <c r="F4" s="93"/>
      <c r="G4" s="94"/>
      <c r="H4" s="95"/>
      <c r="I4" s="91"/>
      <c r="J4" s="91"/>
      <c r="K4" s="91"/>
      <c r="L4" s="96"/>
      <c r="M4" s="96"/>
      <c r="N4" s="703" t="s">
        <v>152</v>
      </c>
      <c r="O4" s="703"/>
      <c r="P4" s="96"/>
    </row>
    <row r="5" spans="1:16" ht="23.25" customHeight="1">
      <c r="A5" s="673" t="s">
        <v>1</v>
      </c>
      <c r="B5" s="673" t="s">
        <v>153</v>
      </c>
      <c r="C5" s="694" t="s">
        <v>154</v>
      </c>
      <c r="D5" s="694"/>
      <c r="E5" s="694"/>
      <c r="F5" s="705" t="s">
        <v>155</v>
      </c>
      <c r="G5" s="706"/>
      <c r="H5" s="706"/>
      <c r="I5" s="706"/>
      <c r="J5" s="706"/>
      <c r="K5" s="707"/>
      <c r="L5" s="694" t="s">
        <v>156</v>
      </c>
      <c r="M5" s="694"/>
      <c r="N5" s="694"/>
      <c r="O5" s="673" t="s">
        <v>157</v>
      </c>
      <c r="P5" s="673" t="s">
        <v>158</v>
      </c>
    </row>
    <row r="6" spans="1:16" ht="23.25" customHeight="1">
      <c r="A6" s="674"/>
      <c r="B6" s="674"/>
      <c r="C6" s="694"/>
      <c r="D6" s="694"/>
      <c r="E6" s="694"/>
      <c r="F6" s="708" t="s">
        <v>159</v>
      </c>
      <c r="G6" s="709"/>
      <c r="H6" s="710"/>
      <c r="I6" s="705" t="s">
        <v>160</v>
      </c>
      <c r="J6" s="706"/>
      <c r="K6" s="707"/>
      <c r="L6" s="694"/>
      <c r="M6" s="694"/>
      <c r="N6" s="694"/>
      <c r="O6" s="674"/>
      <c r="P6" s="674"/>
    </row>
    <row r="7" spans="1:16" s="100" customFormat="1" ht="43.5" customHeight="1">
      <c r="A7" s="674"/>
      <c r="B7" s="674"/>
      <c r="C7" s="3" t="s">
        <v>161</v>
      </c>
      <c r="D7" s="3" t="s">
        <v>162</v>
      </c>
      <c r="E7" s="3" t="s">
        <v>163</v>
      </c>
      <c r="F7" s="97" t="s">
        <v>161</v>
      </c>
      <c r="G7" s="98" t="s">
        <v>162</v>
      </c>
      <c r="H7" s="98" t="s">
        <v>163</v>
      </c>
      <c r="I7" s="3" t="s">
        <v>161</v>
      </c>
      <c r="J7" s="99" t="s">
        <v>162</v>
      </c>
      <c r="K7" s="99" t="s">
        <v>163</v>
      </c>
      <c r="L7" s="3" t="s">
        <v>161</v>
      </c>
      <c r="M7" s="99" t="s">
        <v>162</v>
      </c>
      <c r="N7" s="99" t="s">
        <v>163</v>
      </c>
      <c r="O7" s="675"/>
      <c r="P7" s="675"/>
    </row>
    <row r="8" spans="1:16" s="178" customFormat="1" ht="18.75" customHeight="1">
      <c r="A8" s="101" t="s">
        <v>8</v>
      </c>
      <c r="B8" s="101" t="s">
        <v>20</v>
      </c>
      <c r="C8" s="102" t="s">
        <v>164</v>
      </c>
      <c r="D8" s="102">
        <v>2</v>
      </c>
      <c r="E8" s="102">
        <v>3</v>
      </c>
      <c r="F8" s="103" t="s">
        <v>166</v>
      </c>
      <c r="G8" s="104">
        <v>5</v>
      </c>
      <c r="H8" s="104">
        <v>6</v>
      </c>
      <c r="I8" s="102" t="s">
        <v>165</v>
      </c>
      <c r="J8" s="102">
        <v>8</v>
      </c>
      <c r="K8" s="102">
        <v>9</v>
      </c>
      <c r="L8" s="102" t="s">
        <v>167</v>
      </c>
      <c r="M8" s="105" t="s">
        <v>287</v>
      </c>
      <c r="N8" s="105" t="s">
        <v>288</v>
      </c>
      <c r="O8" s="105"/>
      <c r="P8" s="101"/>
    </row>
    <row r="9" spans="1:16" s="2" customFormat="1" ht="30.75" customHeight="1">
      <c r="A9" s="179"/>
      <c r="B9" s="179" t="s">
        <v>168</v>
      </c>
      <c r="C9" s="180">
        <f t="shared" ref="C9:N9" si="0">C10+C23</f>
        <v>4545337713</v>
      </c>
      <c r="D9" s="180">
        <f t="shared" si="0"/>
        <v>4328075713</v>
      </c>
      <c r="E9" s="180">
        <f t="shared" si="0"/>
        <v>217262000</v>
      </c>
      <c r="F9" s="181">
        <f t="shared" si="0"/>
        <v>1447126913</v>
      </c>
      <c r="G9" s="181">
        <f t="shared" si="0"/>
        <v>1267127713</v>
      </c>
      <c r="H9" s="181">
        <f t="shared" si="0"/>
        <v>179999200</v>
      </c>
      <c r="I9" s="180">
        <f t="shared" si="0"/>
        <v>1447126913</v>
      </c>
      <c r="J9" s="180">
        <f t="shared" si="0"/>
        <v>1267127713</v>
      </c>
      <c r="K9" s="180">
        <f t="shared" si="0"/>
        <v>179999200</v>
      </c>
      <c r="L9" s="180">
        <f t="shared" si="0"/>
        <v>4545337713</v>
      </c>
      <c r="M9" s="180">
        <f t="shared" si="0"/>
        <v>4328075713</v>
      </c>
      <c r="N9" s="180">
        <f t="shared" si="0"/>
        <v>217262000</v>
      </c>
      <c r="O9" s="182"/>
      <c r="P9" s="174"/>
    </row>
    <row r="10" spans="1:16" ht="21" customHeight="1">
      <c r="A10" s="183" t="s">
        <v>8</v>
      </c>
      <c r="B10" s="156" t="s">
        <v>169</v>
      </c>
      <c r="C10" s="184">
        <f>C11+C15</f>
        <v>3337000000</v>
      </c>
      <c r="D10" s="184">
        <f t="shared" ref="D10:N10" si="1">D11+D15</f>
        <v>3178000000</v>
      </c>
      <c r="E10" s="184">
        <f t="shared" si="1"/>
        <v>159000000</v>
      </c>
      <c r="F10" s="185">
        <f t="shared" si="1"/>
        <v>244000000</v>
      </c>
      <c r="G10" s="185">
        <f t="shared" si="1"/>
        <v>122000000</v>
      </c>
      <c r="H10" s="185">
        <f t="shared" si="1"/>
        <v>122000000</v>
      </c>
      <c r="I10" s="184">
        <f t="shared" si="1"/>
        <v>244000000</v>
      </c>
      <c r="J10" s="184">
        <f t="shared" si="1"/>
        <v>122000000</v>
      </c>
      <c r="K10" s="184">
        <f t="shared" si="1"/>
        <v>122000000</v>
      </c>
      <c r="L10" s="184">
        <f t="shared" si="1"/>
        <v>3337000000</v>
      </c>
      <c r="M10" s="184">
        <f t="shared" si="1"/>
        <v>3178000000</v>
      </c>
      <c r="N10" s="184">
        <f t="shared" si="1"/>
        <v>159000000</v>
      </c>
      <c r="O10" s="186"/>
      <c r="P10" s="187"/>
    </row>
    <row r="11" spans="1:16" ht="24" customHeight="1">
      <c r="A11" s="188" t="s">
        <v>28</v>
      </c>
      <c r="B11" s="169" t="s">
        <v>170</v>
      </c>
      <c r="C11" s="189">
        <f>C13</f>
        <v>500000000</v>
      </c>
      <c r="D11" s="189">
        <f t="shared" ref="D11:N11" si="2">D13</f>
        <v>476000000</v>
      </c>
      <c r="E11" s="189">
        <f t="shared" si="2"/>
        <v>24000000</v>
      </c>
      <c r="F11" s="190">
        <f t="shared" si="2"/>
        <v>122000000</v>
      </c>
      <c r="G11" s="190">
        <f t="shared" si="2"/>
        <v>122000000</v>
      </c>
      <c r="H11" s="190">
        <f t="shared" si="2"/>
        <v>0</v>
      </c>
      <c r="I11" s="189">
        <f t="shared" si="2"/>
        <v>122000000</v>
      </c>
      <c r="J11" s="189">
        <f t="shared" si="2"/>
        <v>0</v>
      </c>
      <c r="K11" s="189">
        <f t="shared" si="2"/>
        <v>122000000</v>
      </c>
      <c r="L11" s="189">
        <f t="shared" si="2"/>
        <v>500000000</v>
      </c>
      <c r="M11" s="189">
        <f t="shared" si="2"/>
        <v>354000000</v>
      </c>
      <c r="N11" s="189">
        <f t="shared" si="2"/>
        <v>146000000</v>
      </c>
      <c r="O11" s="191"/>
      <c r="P11" s="712" t="s">
        <v>171</v>
      </c>
    </row>
    <row r="12" spans="1:16" ht="24.75" customHeight="1">
      <c r="A12" s="192">
        <v>1</v>
      </c>
      <c r="B12" s="165" t="s">
        <v>172</v>
      </c>
      <c r="C12" s="193">
        <f>C13</f>
        <v>500000000</v>
      </c>
      <c r="D12" s="193">
        <f t="shared" ref="D12:N13" si="3">D13</f>
        <v>476000000</v>
      </c>
      <c r="E12" s="193">
        <f t="shared" si="3"/>
        <v>24000000</v>
      </c>
      <c r="F12" s="194">
        <f t="shared" si="3"/>
        <v>122000000</v>
      </c>
      <c r="G12" s="194">
        <f t="shared" si="3"/>
        <v>122000000</v>
      </c>
      <c r="H12" s="194">
        <f t="shared" si="3"/>
        <v>0</v>
      </c>
      <c r="I12" s="193">
        <f t="shared" si="3"/>
        <v>122000000</v>
      </c>
      <c r="J12" s="193">
        <f t="shared" si="3"/>
        <v>0</v>
      </c>
      <c r="K12" s="193">
        <f t="shared" si="3"/>
        <v>122000000</v>
      </c>
      <c r="L12" s="193">
        <f t="shared" si="3"/>
        <v>500000000</v>
      </c>
      <c r="M12" s="193">
        <f t="shared" si="3"/>
        <v>354000000</v>
      </c>
      <c r="N12" s="193">
        <f t="shared" si="3"/>
        <v>146000000</v>
      </c>
      <c r="O12" s="195"/>
      <c r="P12" s="712"/>
    </row>
    <row r="13" spans="1:16" ht="105.75" customHeight="1">
      <c r="A13" s="84" t="s">
        <v>173</v>
      </c>
      <c r="B13" s="110" t="s">
        <v>174</v>
      </c>
      <c r="C13" s="196">
        <f>C14</f>
        <v>500000000</v>
      </c>
      <c r="D13" s="196">
        <f t="shared" si="3"/>
        <v>476000000</v>
      </c>
      <c r="E13" s="196">
        <f t="shared" si="3"/>
        <v>24000000</v>
      </c>
      <c r="F13" s="112">
        <f>F14</f>
        <v>122000000</v>
      </c>
      <c r="G13" s="112">
        <f>G14</f>
        <v>122000000</v>
      </c>
      <c r="H13" s="112">
        <f>H14</f>
        <v>0</v>
      </c>
      <c r="I13" s="196">
        <f t="shared" si="3"/>
        <v>122000000</v>
      </c>
      <c r="J13" s="196">
        <f t="shared" si="3"/>
        <v>0</v>
      </c>
      <c r="K13" s="196">
        <f t="shared" si="3"/>
        <v>122000000</v>
      </c>
      <c r="L13" s="196">
        <f t="shared" si="3"/>
        <v>500000000</v>
      </c>
      <c r="M13" s="196">
        <f t="shared" si="3"/>
        <v>354000000</v>
      </c>
      <c r="N13" s="196">
        <f t="shared" si="3"/>
        <v>146000000</v>
      </c>
      <c r="O13" s="197"/>
      <c r="P13" s="712"/>
    </row>
    <row r="14" spans="1:16" ht="46.5" customHeight="1">
      <c r="A14" s="109" t="s">
        <v>32</v>
      </c>
      <c r="B14" s="69" t="s">
        <v>175</v>
      </c>
      <c r="C14" s="198">
        <f>D14+E14</f>
        <v>500000000</v>
      </c>
      <c r="D14" s="198">
        <v>476000000</v>
      </c>
      <c r="E14" s="198">
        <v>24000000</v>
      </c>
      <c r="F14" s="112">
        <f>G14+H14</f>
        <v>122000000</v>
      </c>
      <c r="G14" s="112">
        <v>122000000</v>
      </c>
      <c r="H14" s="112">
        <v>0</v>
      </c>
      <c r="I14" s="198">
        <f>J14+K14</f>
        <v>122000000</v>
      </c>
      <c r="J14" s="198">
        <v>0</v>
      </c>
      <c r="K14" s="198">
        <v>122000000</v>
      </c>
      <c r="L14" s="198">
        <f>M14+N14</f>
        <v>500000000</v>
      </c>
      <c r="M14" s="111">
        <f>D14-G14+J14</f>
        <v>354000000</v>
      </c>
      <c r="N14" s="111">
        <f>E14-H14+K14</f>
        <v>146000000</v>
      </c>
      <c r="O14" s="199" t="s">
        <v>34</v>
      </c>
      <c r="P14" s="712"/>
    </row>
    <row r="15" spans="1:16" ht="24" customHeight="1">
      <c r="A15" s="188" t="s">
        <v>29</v>
      </c>
      <c r="B15" s="169" t="s">
        <v>176</v>
      </c>
      <c r="C15" s="189">
        <f>C16</f>
        <v>2837000000</v>
      </c>
      <c r="D15" s="189">
        <f t="shared" ref="D15:N15" si="4">D16</f>
        <v>2702000000</v>
      </c>
      <c r="E15" s="189">
        <f t="shared" si="4"/>
        <v>135000000</v>
      </c>
      <c r="F15" s="190">
        <f t="shared" si="4"/>
        <v>122000000</v>
      </c>
      <c r="G15" s="190">
        <f t="shared" si="4"/>
        <v>0</v>
      </c>
      <c r="H15" s="190">
        <f t="shared" si="4"/>
        <v>122000000</v>
      </c>
      <c r="I15" s="189">
        <f t="shared" si="4"/>
        <v>122000000</v>
      </c>
      <c r="J15" s="189">
        <f t="shared" si="4"/>
        <v>122000000</v>
      </c>
      <c r="K15" s="189">
        <f t="shared" si="4"/>
        <v>0</v>
      </c>
      <c r="L15" s="189">
        <f t="shared" si="4"/>
        <v>2837000000</v>
      </c>
      <c r="M15" s="189">
        <f t="shared" si="4"/>
        <v>2824000000</v>
      </c>
      <c r="N15" s="189">
        <f t="shared" si="4"/>
        <v>13000000</v>
      </c>
      <c r="O15" s="191"/>
      <c r="P15" s="712" t="s">
        <v>177</v>
      </c>
    </row>
    <row r="16" spans="1:16" ht="24" customHeight="1">
      <c r="A16" s="192">
        <v>1</v>
      </c>
      <c r="B16" s="165" t="s">
        <v>172</v>
      </c>
      <c r="C16" s="193">
        <f>C17+C19</f>
        <v>2837000000</v>
      </c>
      <c r="D16" s="193">
        <f t="shared" ref="D16:N16" si="5">D17+D19</f>
        <v>2702000000</v>
      </c>
      <c r="E16" s="193">
        <f t="shared" si="5"/>
        <v>135000000</v>
      </c>
      <c r="F16" s="194">
        <f t="shared" si="5"/>
        <v>122000000</v>
      </c>
      <c r="G16" s="194">
        <f t="shared" si="5"/>
        <v>0</v>
      </c>
      <c r="H16" s="194">
        <f t="shared" si="5"/>
        <v>122000000</v>
      </c>
      <c r="I16" s="193">
        <f t="shared" si="5"/>
        <v>122000000</v>
      </c>
      <c r="J16" s="193">
        <f t="shared" si="5"/>
        <v>122000000</v>
      </c>
      <c r="K16" s="193">
        <f t="shared" si="5"/>
        <v>0</v>
      </c>
      <c r="L16" s="193">
        <f t="shared" si="5"/>
        <v>2837000000</v>
      </c>
      <c r="M16" s="193">
        <f t="shared" si="5"/>
        <v>2824000000</v>
      </c>
      <c r="N16" s="193">
        <f t="shared" si="5"/>
        <v>13000000</v>
      </c>
      <c r="O16" s="195"/>
      <c r="P16" s="713"/>
    </row>
    <row r="17" spans="1:16" ht="38.25" customHeight="1">
      <c r="A17" s="84" t="s">
        <v>173</v>
      </c>
      <c r="B17" s="110" t="s">
        <v>178</v>
      </c>
      <c r="C17" s="200">
        <f>C18</f>
        <v>1307000000</v>
      </c>
      <c r="D17" s="200">
        <f t="shared" ref="D17:N17" si="6">D18</f>
        <v>1244000000</v>
      </c>
      <c r="E17" s="200">
        <f t="shared" si="6"/>
        <v>63000000</v>
      </c>
      <c r="F17" s="112">
        <f>F18</f>
        <v>62000000</v>
      </c>
      <c r="G17" s="112">
        <f>G18</f>
        <v>0</v>
      </c>
      <c r="H17" s="112">
        <f>H18</f>
        <v>62000000</v>
      </c>
      <c r="I17" s="200">
        <f t="shared" si="6"/>
        <v>62000000</v>
      </c>
      <c r="J17" s="200">
        <f t="shared" si="6"/>
        <v>62000000</v>
      </c>
      <c r="K17" s="200">
        <f t="shared" si="6"/>
        <v>0</v>
      </c>
      <c r="L17" s="200">
        <f t="shared" si="6"/>
        <v>1307000000</v>
      </c>
      <c r="M17" s="200">
        <f t="shared" si="6"/>
        <v>1306000000</v>
      </c>
      <c r="N17" s="200">
        <f t="shared" si="6"/>
        <v>1000000</v>
      </c>
      <c r="O17" s="201"/>
      <c r="P17" s="713"/>
    </row>
    <row r="18" spans="1:16" ht="34.5" customHeight="1">
      <c r="A18" s="109" t="s">
        <v>32</v>
      </c>
      <c r="B18" s="110" t="s">
        <v>179</v>
      </c>
      <c r="C18" s="202">
        <f>D18+E18</f>
        <v>1307000000</v>
      </c>
      <c r="D18" s="202">
        <v>1244000000</v>
      </c>
      <c r="E18" s="202">
        <v>63000000</v>
      </c>
      <c r="F18" s="112">
        <f>G18+H18</f>
        <v>62000000</v>
      </c>
      <c r="G18" s="112">
        <v>0</v>
      </c>
      <c r="H18" s="112">
        <v>62000000</v>
      </c>
      <c r="I18" s="202">
        <f>J18+K18</f>
        <v>62000000</v>
      </c>
      <c r="J18" s="202">
        <v>62000000</v>
      </c>
      <c r="K18" s="202">
        <v>0</v>
      </c>
      <c r="L18" s="202">
        <f>M18+N18</f>
        <v>1307000000</v>
      </c>
      <c r="M18" s="82">
        <f>D18-G18+J18</f>
        <v>1306000000</v>
      </c>
      <c r="N18" s="82">
        <f>E18-H18+K18</f>
        <v>1000000</v>
      </c>
      <c r="O18" s="203" t="s">
        <v>34</v>
      </c>
      <c r="P18" s="713"/>
    </row>
    <row r="19" spans="1:16" ht="84.75" customHeight="1">
      <c r="A19" s="84" t="s">
        <v>180</v>
      </c>
      <c r="B19" s="110" t="s">
        <v>181</v>
      </c>
      <c r="C19" s="196">
        <f t="shared" ref="C19:N19" si="7">C20+C21+C22</f>
        <v>1530000000</v>
      </c>
      <c r="D19" s="196">
        <f t="shared" si="7"/>
        <v>1458000000</v>
      </c>
      <c r="E19" s="196">
        <f t="shared" si="7"/>
        <v>72000000</v>
      </c>
      <c r="F19" s="112">
        <f t="shared" si="7"/>
        <v>60000000</v>
      </c>
      <c r="G19" s="112">
        <f t="shared" si="7"/>
        <v>0</v>
      </c>
      <c r="H19" s="112">
        <f t="shared" si="7"/>
        <v>60000000</v>
      </c>
      <c r="I19" s="196">
        <f t="shared" si="7"/>
        <v>60000000</v>
      </c>
      <c r="J19" s="196">
        <f t="shared" si="7"/>
        <v>60000000</v>
      </c>
      <c r="K19" s="196">
        <f t="shared" si="7"/>
        <v>0</v>
      </c>
      <c r="L19" s="196">
        <f t="shared" si="7"/>
        <v>1530000000</v>
      </c>
      <c r="M19" s="196">
        <f t="shared" si="7"/>
        <v>1518000000</v>
      </c>
      <c r="N19" s="196">
        <f t="shared" si="7"/>
        <v>12000000</v>
      </c>
      <c r="O19" s="197"/>
      <c r="P19" s="713"/>
    </row>
    <row r="20" spans="1:16" ht="84.75" customHeight="1">
      <c r="A20" s="109" t="s">
        <v>32</v>
      </c>
      <c r="B20" s="110" t="s">
        <v>182</v>
      </c>
      <c r="C20" s="196">
        <f>D20+E20</f>
        <v>580000000</v>
      </c>
      <c r="D20" s="196">
        <v>553000000</v>
      </c>
      <c r="E20" s="196">
        <v>27000000</v>
      </c>
      <c r="F20" s="112">
        <f>G20+H20</f>
        <v>15000000</v>
      </c>
      <c r="G20" s="112">
        <v>0</v>
      </c>
      <c r="H20" s="112">
        <v>15000000</v>
      </c>
      <c r="I20" s="196">
        <f>J20+K20</f>
        <v>15000000</v>
      </c>
      <c r="J20" s="196">
        <v>15000000</v>
      </c>
      <c r="K20" s="196">
        <v>0</v>
      </c>
      <c r="L20" s="196">
        <f>M20+N20</f>
        <v>580000000</v>
      </c>
      <c r="M20" s="111">
        <f t="shared" ref="M20:N22" si="8">D20-G20+J20</f>
        <v>568000000</v>
      </c>
      <c r="N20" s="111">
        <f t="shared" si="8"/>
        <v>12000000</v>
      </c>
      <c r="O20" s="197" t="s">
        <v>183</v>
      </c>
      <c r="P20" s="713"/>
    </row>
    <row r="21" spans="1:16" ht="72" customHeight="1">
      <c r="A21" s="170" t="s">
        <v>32</v>
      </c>
      <c r="B21" s="110" t="s">
        <v>184</v>
      </c>
      <c r="C21" s="196">
        <f>D21+E21</f>
        <v>450000000</v>
      </c>
      <c r="D21" s="196">
        <v>429000000</v>
      </c>
      <c r="E21" s="196">
        <v>21000000</v>
      </c>
      <c r="F21" s="112">
        <f>G21+H21</f>
        <v>21000000</v>
      </c>
      <c r="G21" s="112">
        <v>0</v>
      </c>
      <c r="H21" s="112">
        <v>21000000</v>
      </c>
      <c r="I21" s="196">
        <f>J21+K21</f>
        <v>21000000</v>
      </c>
      <c r="J21" s="196">
        <v>21000000</v>
      </c>
      <c r="K21" s="196">
        <v>0</v>
      </c>
      <c r="L21" s="196">
        <f>M21+N21</f>
        <v>450000000</v>
      </c>
      <c r="M21" s="111">
        <f t="shared" si="8"/>
        <v>450000000</v>
      </c>
      <c r="N21" s="111">
        <f t="shared" si="8"/>
        <v>0</v>
      </c>
      <c r="O21" s="197" t="s">
        <v>183</v>
      </c>
      <c r="P21" s="713"/>
    </row>
    <row r="22" spans="1:16" ht="54.75" customHeight="1">
      <c r="A22" s="170" t="s">
        <v>32</v>
      </c>
      <c r="B22" s="71" t="s">
        <v>185</v>
      </c>
      <c r="C22" s="196">
        <f>D22+E22</f>
        <v>500000000</v>
      </c>
      <c r="D22" s="196">
        <v>476000000</v>
      </c>
      <c r="E22" s="196">
        <v>24000000</v>
      </c>
      <c r="F22" s="112">
        <f>G22+H22</f>
        <v>24000000</v>
      </c>
      <c r="G22" s="112">
        <v>0</v>
      </c>
      <c r="H22" s="112">
        <v>24000000</v>
      </c>
      <c r="I22" s="196">
        <f>J22+K22</f>
        <v>24000000</v>
      </c>
      <c r="J22" s="196">
        <v>24000000</v>
      </c>
      <c r="K22" s="196">
        <v>0</v>
      </c>
      <c r="L22" s="196">
        <f>M22+N22</f>
        <v>500000000</v>
      </c>
      <c r="M22" s="111">
        <f t="shared" si="8"/>
        <v>500000000</v>
      </c>
      <c r="N22" s="111">
        <f t="shared" si="8"/>
        <v>0</v>
      </c>
      <c r="O22" s="197" t="s">
        <v>183</v>
      </c>
      <c r="P22" s="713"/>
    </row>
    <row r="23" spans="1:16" s="2" customFormat="1" ht="22.5" customHeight="1">
      <c r="A23" s="158" t="s">
        <v>29</v>
      </c>
      <c r="B23" s="167" t="s">
        <v>186</v>
      </c>
      <c r="C23" s="204">
        <f>C24+C30+C36</f>
        <v>1208337713</v>
      </c>
      <c r="D23" s="204">
        <f t="shared" ref="D23:N23" si="9">D24+D30+D36</f>
        <v>1150075713</v>
      </c>
      <c r="E23" s="204">
        <f t="shared" si="9"/>
        <v>58262000</v>
      </c>
      <c r="F23" s="204">
        <f t="shared" si="9"/>
        <v>1203126913</v>
      </c>
      <c r="G23" s="204">
        <f t="shared" si="9"/>
        <v>1145127713</v>
      </c>
      <c r="H23" s="204">
        <f t="shared" si="9"/>
        <v>57999200</v>
      </c>
      <c r="I23" s="204">
        <f t="shared" si="9"/>
        <v>1203126913</v>
      </c>
      <c r="J23" s="204">
        <f t="shared" si="9"/>
        <v>1145127713</v>
      </c>
      <c r="K23" s="204">
        <f t="shared" si="9"/>
        <v>57999200</v>
      </c>
      <c r="L23" s="204">
        <f t="shared" si="9"/>
        <v>1208337713</v>
      </c>
      <c r="M23" s="204">
        <f t="shared" si="9"/>
        <v>1150075713</v>
      </c>
      <c r="N23" s="204">
        <f t="shared" si="9"/>
        <v>58262000</v>
      </c>
      <c r="O23" s="186"/>
      <c r="P23" s="205"/>
    </row>
    <row r="24" spans="1:16" s="2" customFormat="1" ht="22.5" customHeight="1">
      <c r="A24" s="168" t="s">
        <v>28</v>
      </c>
      <c r="B24" s="169" t="s">
        <v>76</v>
      </c>
      <c r="C24" s="206">
        <f t="shared" ref="C24:N24" si="10">C26+C28</f>
        <v>780000000</v>
      </c>
      <c r="D24" s="206">
        <f t="shared" si="10"/>
        <v>743000000</v>
      </c>
      <c r="E24" s="206">
        <f t="shared" si="10"/>
        <v>37000000</v>
      </c>
      <c r="F24" s="190">
        <f t="shared" si="10"/>
        <v>780000000</v>
      </c>
      <c r="G24" s="190">
        <f t="shared" si="10"/>
        <v>743000000</v>
      </c>
      <c r="H24" s="190">
        <f t="shared" si="10"/>
        <v>37000000</v>
      </c>
      <c r="I24" s="206">
        <f t="shared" si="10"/>
        <v>780000000</v>
      </c>
      <c r="J24" s="206">
        <f t="shared" si="10"/>
        <v>743000000</v>
      </c>
      <c r="K24" s="206">
        <f t="shared" si="10"/>
        <v>37000000</v>
      </c>
      <c r="L24" s="206">
        <f t="shared" si="10"/>
        <v>780000000</v>
      </c>
      <c r="M24" s="206">
        <f t="shared" si="10"/>
        <v>743000000</v>
      </c>
      <c r="N24" s="206">
        <f t="shared" si="10"/>
        <v>37000000</v>
      </c>
      <c r="O24" s="207"/>
      <c r="P24" s="714" t="s">
        <v>187</v>
      </c>
    </row>
    <row r="25" spans="1:16" s="2" customFormat="1" ht="24" customHeight="1">
      <c r="A25" s="164">
        <v>1</v>
      </c>
      <c r="B25" s="165" t="s">
        <v>172</v>
      </c>
      <c r="C25" s="208">
        <f>C26+C28</f>
        <v>780000000</v>
      </c>
      <c r="D25" s="208">
        <f t="shared" ref="D25:N25" si="11">D26+D28</f>
        <v>743000000</v>
      </c>
      <c r="E25" s="208">
        <f t="shared" si="11"/>
        <v>37000000</v>
      </c>
      <c r="F25" s="194">
        <f t="shared" si="11"/>
        <v>780000000</v>
      </c>
      <c r="G25" s="194">
        <f t="shared" si="11"/>
        <v>743000000</v>
      </c>
      <c r="H25" s="194">
        <f t="shared" si="11"/>
        <v>37000000</v>
      </c>
      <c r="I25" s="208">
        <f t="shared" si="11"/>
        <v>780000000</v>
      </c>
      <c r="J25" s="208">
        <f t="shared" si="11"/>
        <v>743000000</v>
      </c>
      <c r="K25" s="208">
        <f t="shared" si="11"/>
        <v>37000000</v>
      </c>
      <c r="L25" s="208">
        <f t="shared" si="11"/>
        <v>780000000</v>
      </c>
      <c r="M25" s="208">
        <f t="shared" si="11"/>
        <v>743000000</v>
      </c>
      <c r="N25" s="208">
        <f t="shared" si="11"/>
        <v>37000000</v>
      </c>
      <c r="O25" s="209"/>
      <c r="P25" s="714"/>
    </row>
    <row r="26" spans="1:16" ht="63.75" customHeight="1">
      <c r="A26" s="84" t="s">
        <v>173</v>
      </c>
      <c r="B26" s="69" t="s">
        <v>188</v>
      </c>
      <c r="C26" s="111">
        <f>C27</f>
        <v>0</v>
      </c>
      <c r="D26" s="111">
        <f t="shared" ref="D26:N26" si="12">D27</f>
        <v>0</v>
      </c>
      <c r="E26" s="111">
        <f t="shared" si="12"/>
        <v>0</v>
      </c>
      <c r="F26" s="210">
        <f>F27</f>
        <v>0</v>
      </c>
      <c r="G26" s="210">
        <f>G27</f>
        <v>0</v>
      </c>
      <c r="H26" s="210">
        <f>H27</f>
        <v>0</v>
      </c>
      <c r="I26" s="111">
        <f t="shared" si="12"/>
        <v>780000000</v>
      </c>
      <c r="J26" s="111">
        <f t="shared" si="12"/>
        <v>743000000</v>
      </c>
      <c r="K26" s="111">
        <f t="shared" si="12"/>
        <v>37000000</v>
      </c>
      <c r="L26" s="111">
        <f t="shared" si="12"/>
        <v>780000000</v>
      </c>
      <c r="M26" s="111">
        <f t="shared" si="12"/>
        <v>743000000</v>
      </c>
      <c r="N26" s="111">
        <f t="shared" si="12"/>
        <v>37000000</v>
      </c>
      <c r="O26" s="113"/>
      <c r="P26" s="714"/>
    </row>
    <row r="27" spans="1:16" ht="43.5" customHeight="1">
      <c r="A27" s="109" t="s">
        <v>32</v>
      </c>
      <c r="B27" s="110" t="s">
        <v>189</v>
      </c>
      <c r="C27" s="200">
        <f>D27+E27</f>
        <v>0</v>
      </c>
      <c r="D27" s="200">
        <v>0</v>
      </c>
      <c r="E27" s="200">
        <v>0</v>
      </c>
      <c r="F27" s="210">
        <f>G27+H27</f>
        <v>0</v>
      </c>
      <c r="G27" s="210">
        <v>0</v>
      </c>
      <c r="H27" s="210">
        <v>0</v>
      </c>
      <c r="I27" s="200">
        <f>J27+K27</f>
        <v>780000000</v>
      </c>
      <c r="J27" s="200">
        <v>743000000</v>
      </c>
      <c r="K27" s="200">
        <v>37000000</v>
      </c>
      <c r="L27" s="200">
        <f>M27+N27</f>
        <v>780000000</v>
      </c>
      <c r="M27" s="111">
        <f>D27-G27+J27</f>
        <v>743000000</v>
      </c>
      <c r="N27" s="111">
        <f>E27-H27+K27</f>
        <v>37000000</v>
      </c>
      <c r="O27" s="201" t="s">
        <v>190</v>
      </c>
      <c r="P27" s="714"/>
    </row>
    <row r="28" spans="1:16" ht="61.5" customHeight="1">
      <c r="A28" s="84" t="s">
        <v>180</v>
      </c>
      <c r="B28" s="69" t="s">
        <v>191</v>
      </c>
      <c r="C28" s="111">
        <f>C29</f>
        <v>780000000</v>
      </c>
      <c r="D28" s="111">
        <f t="shared" ref="D28:N28" si="13">D29</f>
        <v>743000000</v>
      </c>
      <c r="E28" s="111">
        <f t="shared" si="13"/>
        <v>37000000</v>
      </c>
      <c r="F28" s="112">
        <f>F29</f>
        <v>780000000</v>
      </c>
      <c r="G28" s="112">
        <f>G29</f>
        <v>743000000</v>
      </c>
      <c r="H28" s="112">
        <f>H29</f>
        <v>37000000</v>
      </c>
      <c r="I28" s="111">
        <f t="shared" si="13"/>
        <v>0</v>
      </c>
      <c r="J28" s="111">
        <f t="shared" si="13"/>
        <v>0</v>
      </c>
      <c r="K28" s="111">
        <f t="shared" si="13"/>
        <v>0</v>
      </c>
      <c r="L28" s="111">
        <f t="shared" si="13"/>
        <v>0</v>
      </c>
      <c r="M28" s="111">
        <f t="shared" si="13"/>
        <v>0</v>
      </c>
      <c r="N28" s="111">
        <f t="shared" si="13"/>
        <v>0</v>
      </c>
      <c r="O28" s="113"/>
      <c r="P28" s="714"/>
    </row>
    <row r="29" spans="1:16" ht="68.25" customHeight="1">
      <c r="A29" s="585" t="s">
        <v>32</v>
      </c>
      <c r="B29" s="586" t="s">
        <v>192</v>
      </c>
      <c r="C29" s="587">
        <f>D29+E29</f>
        <v>780000000</v>
      </c>
      <c r="D29" s="587">
        <v>743000000</v>
      </c>
      <c r="E29" s="587">
        <v>37000000</v>
      </c>
      <c r="F29" s="588">
        <f>G29+H29</f>
        <v>780000000</v>
      </c>
      <c r="G29" s="588">
        <v>743000000</v>
      </c>
      <c r="H29" s="588">
        <v>37000000</v>
      </c>
      <c r="I29" s="587">
        <f>J29+K29</f>
        <v>0</v>
      </c>
      <c r="J29" s="587">
        <v>0</v>
      </c>
      <c r="K29" s="587">
        <v>0</v>
      </c>
      <c r="L29" s="587">
        <f>M29+N29</f>
        <v>0</v>
      </c>
      <c r="M29" s="587">
        <f>D29-G29+J29</f>
        <v>0</v>
      </c>
      <c r="N29" s="587">
        <f>E29-H29+K29</f>
        <v>0</v>
      </c>
      <c r="O29" s="589" t="s">
        <v>190</v>
      </c>
      <c r="P29" s="715"/>
    </row>
    <row r="30" spans="1:16" ht="29.25" customHeight="1">
      <c r="A30" s="224" t="s">
        <v>29</v>
      </c>
      <c r="B30" s="590" t="s">
        <v>193</v>
      </c>
      <c r="C30" s="591">
        <f t="shared" ref="C30:N30" si="14">C32+C34</f>
        <v>116985673</v>
      </c>
      <c r="D30" s="591">
        <f t="shared" si="14"/>
        <v>110985673</v>
      </c>
      <c r="E30" s="591">
        <f t="shared" si="14"/>
        <v>6000000</v>
      </c>
      <c r="F30" s="592">
        <f t="shared" si="14"/>
        <v>116985673</v>
      </c>
      <c r="G30" s="592">
        <f t="shared" si="14"/>
        <v>110985673</v>
      </c>
      <c r="H30" s="592">
        <f t="shared" si="14"/>
        <v>6000000</v>
      </c>
      <c r="I30" s="591">
        <f t="shared" si="14"/>
        <v>116985673</v>
      </c>
      <c r="J30" s="591">
        <f t="shared" si="14"/>
        <v>110985673</v>
      </c>
      <c r="K30" s="591">
        <f t="shared" si="14"/>
        <v>6000000</v>
      </c>
      <c r="L30" s="591">
        <f t="shared" si="14"/>
        <v>116985673</v>
      </c>
      <c r="M30" s="591">
        <f t="shared" si="14"/>
        <v>110985673</v>
      </c>
      <c r="N30" s="591">
        <f t="shared" si="14"/>
        <v>6000000</v>
      </c>
      <c r="O30" s="593"/>
      <c r="P30" s="594"/>
    </row>
    <row r="31" spans="1:16" ht="38.25" customHeight="1">
      <c r="A31" s="595">
        <v>1</v>
      </c>
      <c r="B31" s="596" t="s">
        <v>194</v>
      </c>
      <c r="C31" s="597">
        <f>C32+C34</f>
        <v>116985673</v>
      </c>
      <c r="D31" s="597">
        <f t="shared" ref="D31:N31" si="15">D32+D34</f>
        <v>110985673</v>
      </c>
      <c r="E31" s="597">
        <f t="shared" si="15"/>
        <v>6000000</v>
      </c>
      <c r="F31" s="598">
        <f t="shared" si="15"/>
        <v>116985673</v>
      </c>
      <c r="G31" s="598">
        <f t="shared" si="15"/>
        <v>110985673</v>
      </c>
      <c r="H31" s="598">
        <f t="shared" si="15"/>
        <v>6000000</v>
      </c>
      <c r="I31" s="597">
        <f t="shared" si="15"/>
        <v>116985673</v>
      </c>
      <c r="J31" s="597">
        <f t="shared" si="15"/>
        <v>110985673</v>
      </c>
      <c r="K31" s="597">
        <f t="shared" si="15"/>
        <v>6000000</v>
      </c>
      <c r="L31" s="597">
        <f t="shared" si="15"/>
        <v>116985673</v>
      </c>
      <c r="M31" s="597">
        <f t="shared" si="15"/>
        <v>110985673</v>
      </c>
      <c r="N31" s="597">
        <f t="shared" si="15"/>
        <v>6000000</v>
      </c>
      <c r="O31" s="599"/>
      <c r="P31" s="600"/>
    </row>
    <row r="32" spans="1:16" ht="54.75" customHeight="1">
      <c r="A32" s="84" t="s">
        <v>173</v>
      </c>
      <c r="B32" s="69" t="s">
        <v>188</v>
      </c>
      <c r="C32" s="111">
        <f>C33</f>
        <v>116985673</v>
      </c>
      <c r="D32" s="111">
        <f t="shared" ref="D32:N32" si="16">D33</f>
        <v>110985673</v>
      </c>
      <c r="E32" s="111">
        <f t="shared" si="16"/>
        <v>6000000</v>
      </c>
      <c r="F32" s="112">
        <f>F33</f>
        <v>116985673</v>
      </c>
      <c r="G32" s="112">
        <f>G33</f>
        <v>110985673</v>
      </c>
      <c r="H32" s="112">
        <f>H33</f>
        <v>6000000</v>
      </c>
      <c r="I32" s="111">
        <f t="shared" si="16"/>
        <v>0</v>
      </c>
      <c r="J32" s="111">
        <f t="shared" si="16"/>
        <v>0</v>
      </c>
      <c r="K32" s="111">
        <f t="shared" si="16"/>
        <v>0</v>
      </c>
      <c r="L32" s="111">
        <f t="shared" si="16"/>
        <v>0</v>
      </c>
      <c r="M32" s="111">
        <f t="shared" si="16"/>
        <v>0</v>
      </c>
      <c r="N32" s="111">
        <f t="shared" si="16"/>
        <v>0</v>
      </c>
      <c r="O32" s="113"/>
      <c r="P32" s="714" t="s">
        <v>195</v>
      </c>
    </row>
    <row r="33" spans="1:16" ht="39" customHeight="1">
      <c r="A33" s="109" t="s">
        <v>32</v>
      </c>
      <c r="B33" s="110" t="s">
        <v>189</v>
      </c>
      <c r="C33" s="111">
        <f>D33+E33</f>
        <v>116985673</v>
      </c>
      <c r="D33" s="111">
        <v>110985673</v>
      </c>
      <c r="E33" s="111">
        <v>6000000</v>
      </c>
      <c r="F33" s="112">
        <f>G33+H33</f>
        <v>116985673</v>
      </c>
      <c r="G33" s="112">
        <v>110985673</v>
      </c>
      <c r="H33" s="112">
        <v>6000000</v>
      </c>
      <c r="I33" s="111">
        <f>J33+K33</f>
        <v>0</v>
      </c>
      <c r="J33" s="111">
        <v>0</v>
      </c>
      <c r="K33" s="111">
        <v>0</v>
      </c>
      <c r="L33" s="111">
        <f>M33+N33</f>
        <v>0</v>
      </c>
      <c r="M33" s="111">
        <f>D33-G33+J33</f>
        <v>0</v>
      </c>
      <c r="N33" s="111">
        <f>E33-H33+K33</f>
        <v>0</v>
      </c>
      <c r="O33" s="113" t="s">
        <v>190</v>
      </c>
      <c r="P33" s="714"/>
    </row>
    <row r="34" spans="1:16" ht="72" customHeight="1">
      <c r="A34" s="84" t="s">
        <v>180</v>
      </c>
      <c r="B34" s="69" t="s">
        <v>191</v>
      </c>
      <c r="C34" s="111">
        <f>C35</f>
        <v>0</v>
      </c>
      <c r="D34" s="111">
        <f t="shared" ref="D34:N34" si="17">D35</f>
        <v>0</v>
      </c>
      <c r="E34" s="111">
        <f t="shared" si="17"/>
        <v>0</v>
      </c>
      <c r="F34" s="112">
        <f>F35</f>
        <v>0</v>
      </c>
      <c r="G34" s="112">
        <f>G35</f>
        <v>0</v>
      </c>
      <c r="H34" s="112">
        <f>H35</f>
        <v>0</v>
      </c>
      <c r="I34" s="111">
        <f t="shared" si="17"/>
        <v>116985673</v>
      </c>
      <c r="J34" s="111">
        <f t="shared" si="17"/>
        <v>110985673</v>
      </c>
      <c r="K34" s="111">
        <f t="shared" si="17"/>
        <v>6000000</v>
      </c>
      <c r="L34" s="111">
        <f t="shared" si="17"/>
        <v>116985673</v>
      </c>
      <c r="M34" s="111">
        <f t="shared" si="17"/>
        <v>110985673</v>
      </c>
      <c r="N34" s="111">
        <f t="shared" si="17"/>
        <v>6000000</v>
      </c>
      <c r="O34" s="113"/>
      <c r="P34" s="714" t="s">
        <v>196</v>
      </c>
    </row>
    <row r="35" spans="1:16" ht="47.25">
      <c r="A35" s="114" t="s">
        <v>32</v>
      </c>
      <c r="B35" s="115" t="s">
        <v>197</v>
      </c>
      <c r="C35" s="108">
        <f>D35+E35</f>
        <v>0</v>
      </c>
      <c r="D35" s="108">
        <v>0</v>
      </c>
      <c r="E35" s="108">
        <v>0</v>
      </c>
      <c r="F35" s="107">
        <f>G35+H35</f>
        <v>0</v>
      </c>
      <c r="G35" s="107">
        <v>0</v>
      </c>
      <c r="H35" s="107">
        <v>0</v>
      </c>
      <c r="I35" s="108">
        <f>J35+K35</f>
        <v>116985673</v>
      </c>
      <c r="J35" s="108">
        <v>110985673</v>
      </c>
      <c r="K35" s="108">
        <v>6000000</v>
      </c>
      <c r="L35" s="108">
        <f>M35+N35</f>
        <v>116985673</v>
      </c>
      <c r="M35" s="108">
        <f>D35-G35+J35</f>
        <v>110985673</v>
      </c>
      <c r="N35" s="108">
        <f>E35-H35+K35</f>
        <v>6000000</v>
      </c>
      <c r="O35" s="116" t="s">
        <v>190</v>
      </c>
      <c r="P35" s="717"/>
    </row>
    <row r="36" spans="1:16" ht="25.5" customHeight="1">
      <c r="A36" s="168" t="s">
        <v>253</v>
      </c>
      <c r="B36" s="169" t="s">
        <v>992</v>
      </c>
      <c r="C36" s="206">
        <f>C37</f>
        <v>311352040</v>
      </c>
      <c r="D36" s="206">
        <f t="shared" ref="D36:N36" si="18">D37</f>
        <v>296090040</v>
      </c>
      <c r="E36" s="206">
        <f t="shared" si="18"/>
        <v>15262000</v>
      </c>
      <c r="F36" s="206">
        <f t="shared" si="18"/>
        <v>306141240</v>
      </c>
      <c r="G36" s="206">
        <f t="shared" si="18"/>
        <v>291142040</v>
      </c>
      <c r="H36" s="206">
        <f t="shared" si="18"/>
        <v>14999200</v>
      </c>
      <c r="I36" s="206">
        <f t="shared" si="18"/>
        <v>306141240</v>
      </c>
      <c r="J36" s="206">
        <f t="shared" si="18"/>
        <v>291142040</v>
      </c>
      <c r="K36" s="206">
        <f t="shared" si="18"/>
        <v>14999200</v>
      </c>
      <c r="L36" s="206">
        <f t="shared" si="18"/>
        <v>311352040</v>
      </c>
      <c r="M36" s="206">
        <f t="shared" si="18"/>
        <v>296090040</v>
      </c>
      <c r="N36" s="206">
        <f t="shared" si="18"/>
        <v>15262000</v>
      </c>
      <c r="O36" s="207"/>
      <c r="P36" s="217"/>
    </row>
    <row r="37" spans="1:16" ht="39.75" customHeight="1">
      <c r="A37" s="601">
        <v>1</v>
      </c>
      <c r="B37" s="533" t="s">
        <v>993</v>
      </c>
      <c r="C37" s="602">
        <f t="shared" ref="C37:N37" si="19">C40+C42+C38</f>
        <v>311352040</v>
      </c>
      <c r="D37" s="602">
        <f t="shared" si="19"/>
        <v>296090040</v>
      </c>
      <c r="E37" s="602">
        <f t="shared" si="19"/>
        <v>15262000</v>
      </c>
      <c r="F37" s="602">
        <f t="shared" si="19"/>
        <v>306141240</v>
      </c>
      <c r="G37" s="602">
        <f t="shared" si="19"/>
        <v>291142040</v>
      </c>
      <c r="H37" s="602">
        <f t="shared" si="19"/>
        <v>14999200</v>
      </c>
      <c r="I37" s="602">
        <f t="shared" si="19"/>
        <v>306141240</v>
      </c>
      <c r="J37" s="602">
        <f t="shared" si="19"/>
        <v>291142040</v>
      </c>
      <c r="K37" s="602">
        <f t="shared" si="19"/>
        <v>14999200</v>
      </c>
      <c r="L37" s="602">
        <f t="shared" si="19"/>
        <v>311352040</v>
      </c>
      <c r="M37" s="602">
        <f t="shared" si="19"/>
        <v>296090040</v>
      </c>
      <c r="N37" s="602">
        <f t="shared" si="19"/>
        <v>15262000</v>
      </c>
      <c r="O37" s="603"/>
      <c r="P37" s="604"/>
    </row>
    <row r="38" spans="1:16" ht="53.25" customHeight="1">
      <c r="A38" s="84" t="s">
        <v>173</v>
      </c>
      <c r="B38" s="69" t="s">
        <v>994</v>
      </c>
      <c r="C38" s="605">
        <f t="shared" ref="C38:N38" si="20">C39</f>
        <v>0</v>
      </c>
      <c r="D38" s="605">
        <f t="shared" si="20"/>
        <v>0</v>
      </c>
      <c r="E38" s="605">
        <f t="shared" si="20"/>
        <v>0</v>
      </c>
      <c r="F38" s="606">
        <f t="shared" si="20"/>
        <v>0</v>
      </c>
      <c r="G38" s="606">
        <f t="shared" si="20"/>
        <v>0</v>
      </c>
      <c r="H38" s="606">
        <f t="shared" si="20"/>
        <v>0</v>
      </c>
      <c r="I38" s="606">
        <f t="shared" si="20"/>
        <v>286141240</v>
      </c>
      <c r="J38" s="606">
        <f t="shared" si="20"/>
        <v>271142040</v>
      </c>
      <c r="K38" s="606">
        <f t="shared" si="20"/>
        <v>14999200</v>
      </c>
      <c r="L38" s="605">
        <f t="shared" si="20"/>
        <v>286141240</v>
      </c>
      <c r="M38" s="605">
        <f t="shared" si="20"/>
        <v>271142040</v>
      </c>
      <c r="N38" s="605">
        <f t="shared" si="20"/>
        <v>14999200</v>
      </c>
      <c r="O38" s="113"/>
      <c r="P38" s="607"/>
    </row>
    <row r="39" spans="1:16" ht="39.75" customHeight="1">
      <c r="A39" s="109" t="s">
        <v>32</v>
      </c>
      <c r="B39" s="69" t="s">
        <v>995</v>
      </c>
      <c r="C39" s="605">
        <f>D39+E39</f>
        <v>0</v>
      </c>
      <c r="D39" s="605"/>
      <c r="E39" s="605"/>
      <c r="F39" s="606">
        <f>G39+H39</f>
        <v>0</v>
      </c>
      <c r="G39" s="606"/>
      <c r="H39" s="606"/>
      <c r="I39" s="606">
        <f>J39+K39</f>
        <v>286141240</v>
      </c>
      <c r="J39" s="606">
        <v>271142040</v>
      </c>
      <c r="K39" s="606">
        <v>14999200</v>
      </c>
      <c r="L39" s="605">
        <f>M39+N39</f>
        <v>286141240</v>
      </c>
      <c r="M39" s="605">
        <f>D39-G39+J39</f>
        <v>271142040</v>
      </c>
      <c r="N39" s="605">
        <f>E39-H39+K39</f>
        <v>14999200</v>
      </c>
      <c r="O39" s="113" t="s">
        <v>190</v>
      </c>
      <c r="P39" s="22" t="s">
        <v>996</v>
      </c>
    </row>
    <row r="40" spans="1:16" ht="59.25" customHeight="1">
      <c r="A40" s="84" t="s">
        <v>180</v>
      </c>
      <c r="B40" s="69" t="s">
        <v>997</v>
      </c>
      <c r="C40" s="605">
        <f>C41</f>
        <v>311352040</v>
      </c>
      <c r="D40" s="605">
        <f t="shared" ref="D40:N42" si="21">D41</f>
        <v>296090040</v>
      </c>
      <c r="E40" s="605">
        <f t="shared" si="21"/>
        <v>15262000</v>
      </c>
      <c r="F40" s="606">
        <f t="shared" si="21"/>
        <v>306141240</v>
      </c>
      <c r="G40" s="606">
        <f t="shared" si="21"/>
        <v>291142040</v>
      </c>
      <c r="H40" s="606">
        <f t="shared" si="21"/>
        <v>14999200</v>
      </c>
      <c r="I40" s="606">
        <f t="shared" si="21"/>
        <v>0</v>
      </c>
      <c r="J40" s="606">
        <f t="shared" si="21"/>
        <v>0</v>
      </c>
      <c r="K40" s="606">
        <f t="shared" si="21"/>
        <v>0</v>
      </c>
      <c r="L40" s="605">
        <f t="shared" si="21"/>
        <v>5210800</v>
      </c>
      <c r="M40" s="605">
        <f t="shared" si="21"/>
        <v>4948000</v>
      </c>
      <c r="N40" s="605">
        <f t="shared" si="21"/>
        <v>262800</v>
      </c>
      <c r="O40" s="199"/>
      <c r="P40" s="716" t="s">
        <v>998</v>
      </c>
    </row>
    <row r="41" spans="1:16" ht="57" customHeight="1">
      <c r="A41" s="84" t="s">
        <v>32</v>
      </c>
      <c r="B41" s="69" t="s">
        <v>999</v>
      </c>
      <c r="C41" s="605">
        <f>D41+E41</f>
        <v>311352040</v>
      </c>
      <c r="D41" s="605">
        <f>97482340+198607700</f>
        <v>296090040</v>
      </c>
      <c r="E41" s="605">
        <f>4716000+10546000</f>
        <v>15262000</v>
      </c>
      <c r="F41" s="606">
        <f>G41+H41</f>
        <v>306141240</v>
      </c>
      <c r="G41" s="606">
        <f>97482340+193659700</f>
        <v>291142040</v>
      </c>
      <c r="H41" s="606">
        <f>4716000+10283200</f>
        <v>14999200</v>
      </c>
      <c r="I41" s="606">
        <f>J41+K41</f>
        <v>0</v>
      </c>
      <c r="J41" s="606"/>
      <c r="K41" s="606"/>
      <c r="L41" s="605">
        <f>M41+N41</f>
        <v>5210800</v>
      </c>
      <c r="M41" s="605">
        <f>D41-G41+J41</f>
        <v>4948000</v>
      </c>
      <c r="N41" s="605">
        <f>E41-H41+K41</f>
        <v>262800</v>
      </c>
      <c r="O41" s="199" t="s">
        <v>34</v>
      </c>
      <c r="P41" s="716"/>
    </row>
    <row r="42" spans="1:16" ht="65.25" customHeight="1">
      <c r="A42" s="84" t="s">
        <v>249</v>
      </c>
      <c r="B42" s="69" t="s">
        <v>1000</v>
      </c>
      <c r="C42" s="605"/>
      <c r="D42" s="605"/>
      <c r="E42" s="605">
        <f t="shared" si="21"/>
        <v>0</v>
      </c>
      <c r="F42" s="606">
        <f t="shared" si="21"/>
        <v>0</v>
      </c>
      <c r="G42" s="606">
        <f t="shared" si="21"/>
        <v>0</v>
      </c>
      <c r="H42" s="606">
        <f t="shared" si="21"/>
        <v>0</v>
      </c>
      <c r="I42" s="606">
        <f t="shared" si="21"/>
        <v>20000000</v>
      </c>
      <c r="J42" s="606">
        <f t="shared" si="21"/>
        <v>20000000</v>
      </c>
      <c r="K42" s="606">
        <f t="shared" si="21"/>
        <v>0</v>
      </c>
      <c r="L42" s="605">
        <f t="shared" si="21"/>
        <v>20000000</v>
      </c>
      <c r="M42" s="605">
        <f t="shared" si="21"/>
        <v>20000000</v>
      </c>
      <c r="N42" s="605">
        <f t="shared" si="21"/>
        <v>0</v>
      </c>
      <c r="O42" s="113"/>
      <c r="P42" s="607"/>
    </row>
    <row r="43" spans="1:16" ht="47.25">
      <c r="A43" s="114" t="s">
        <v>32</v>
      </c>
      <c r="B43" s="115" t="s">
        <v>1001</v>
      </c>
      <c r="C43" s="608"/>
      <c r="D43" s="608"/>
      <c r="E43" s="608"/>
      <c r="F43" s="609">
        <f>G43+H43</f>
        <v>0</v>
      </c>
      <c r="G43" s="609"/>
      <c r="H43" s="609"/>
      <c r="I43" s="609">
        <f>J43+K43</f>
        <v>20000000</v>
      </c>
      <c r="J43" s="609">
        <v>20000000</v>
      </c>
      <c r="K43" s="609">
        <v>0</v>
      </c>
      <c r="L43" s="608">
        <f>M43+N43</f>
        <v>20000000</v>
      </c>
      <c r="M43" s="608">
        <f>D43-G43+J43</f>
        <v>20000000</v>
      </c>
      <c r="N43" s="608">
        <f>E43-H43+K43</f>
        <v>0</v>
      </c>
      <c r="O43" s="116" t="s">
        <v>1002</v>
      </c>
      <c r="P43" s="171" t="s">
        <v>1003</v>
      </c>
    </row>
  </sheetData>
  <mergeCells count="19">
    <mergeCell ref="P40:P41"/>
    <mergeCell ref="N1:O1"/>
    <mergeCell ref="N4:O4"/>
    <mergeCell ref="P34:P35"/>
    <mergeCell ref="A2:P2"/>
    <mergeCell ref="A3:P3"/>
    <mergeCell ref="A5:A7"/>
    <mergeCell ref="B5:B7"/>
    <mergeCell ref="C5:E6"/>
    <mergeCell ref="F5:K5"/>
    <mergeCell ref="L5:N6"/>
    <mergeCell ref="O5:O7"/>
    <mergeCell ref="P5:P7"/>
    <mergeCell ref="F6:H6"/>
    <mergeCell ref="I6:K6"/>
    <mergeCell ref="P11:P14"/>
    <mergeCell ref="P15:P22"/>
    <mergeCell ref="P24:P29"/>
    <mergeCell ref="P32:P33"/>
  </mergeCells>
  <pageMargins left="0.47244094488188981" right="0.31496062992125984" top="0.43307086614173229" bottom="0.65" header="0.31496062992125984" footer="0.24"/>
  <pageSetup paperSize="9" scale="51" fitToHeight="0" orientation="landscape" verticalDpi="0"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F29"/>
  <sheetViews>
    <sheetView workbookViewId="0">
      <selection activeCell="D8" sqref="D8"/>
    </sheetView>
  </sheetViews>
  <sheetFormatPr defaultColWidth="9" defaultRowHeight="15.75"/>
  <cols>
    <col min="1" max="1" width="6.75" style="1" customWidth="1"/>
    <col min="2" max="2" width="36.625" style="1" customWidth="1"/>
    <col min="3" max="5" width="18.5" style="1" customWidth="1"/>
    <col min="6" max="6" width="46.125" style="1" customWidth="1"/>
    <col min="7" max="16384" width="9" style="1"/>
  </cols>
  <sheetData>
    <row r="1" spans="1:6" ht="22.5" customHeight="1">
      <c r="F1" s="241" t="s">
        <v>566</v>
      </c>
    </row>
    <row r="2" spans="1:6" ht="42" customHeight="1">
      <c r="A2" s="720" t="s">
        <v>366</v>
      </c>
      <c r="B2" s="721"/>
      <c r="C2" s="721"/>
      <c r="D2" s="721"/>
      <c r="E2" s="721"/>
      <c r="F2" s="721"/>
    </row>
    <row r="3" spans="1:6" ht="21" customHeight="1">
      <c r="A3" s="722" t="str">
        <f>'B1 PAĐC DTTS'!A3:O3</f>
        <v>(Kèm theo Tờ trình số:                  /TTr-UBND ngày               /5/2024 của UBND tỉnh Bắc Kạn)</v>
      </c>
      <c r="B3" s="722"/>
      <c r="C3" s="722"/>
      <c r="D3" s="722"/>
      <c r="E3" s="722"/>
      <c r="F3" s="722"/>
    </row>
    <row r="5" spans="1:6">
      <c r="C5" s="31"/>
      <c r="F5" s="242" t="s">
        <v>23</v>
      </c>
    </row>
    <row r="6" spans="1:6" ht="20.25" customHeight="1">
      <c r="A6" s="723" t="s">
        <v>1</v>
      </c>
      <c r="B6" s="723" t="s">
        <v>367</v>
      </c>
      <c r="C6" s="724" t="s">
        <v>368</v>
      </c>
      <c r="D6" s="724"/>
      <c r="E6" s="724"/>
      <c r="F6" s="724" t="s">
        <v>369</v>
      </c>
    </row>
    <row r="7" spans="1:6" ht="20.25" customHeight="1">
      <c r="A7" s="723"/>
      <c r="B7" s="723"/>
      <c r="C7" s="724" t="s">
        <v>10</v>
      </c>
      <c r="D7" s="724" t="s">
        <v>11</v>
      </c>
      <c r="E7" s="724"/>
      <c r="F7" s="724"/>
    </row>
    <row r="8" spans="1:6" ht="30.4" customHeight="1">
      <c r="A8" s="723"/>
      <c r="B8" s="723"/>
      <c r="C8" s="724"/>
      <c r="D8" s="233" t="str">
        <f>'PL2-TH dư nguồn GNBV'!D8</f>
        <v>Ngân sách trung ương</v>
      </c>
      <c r="E8" s="233" t="str">
        <f>'PL2-TH dư nguồn GNBV'!E8</f>
        <v>Ngân sách địa phương</v>
      </c>
      <c r="F8" s="724"/>
    </row>
    <row r="9" spans="1:6" s="234" customFormat="1" ht="22.5" customHeight="1">
      <c r="A9" s="719" t="s">
        <v>25</v>
      </c>
      <c r="B9" s="719"/>
      <c r="C9" s="243">
        <f>C10+C13+C15+C18+C20+C26</f>
        <v>5506608800</v>
      </c>
      <c r="D9" s="243">
        <f t="shared" ref="D9:E9" si="0">D10+D13+D15+D18+D20+D26</f>
        <v>5489628800</v>
      </c>
      <c r="E9" s="243">
        <f t="shared" si="0"/>
        <v>16980000</v>
      </c>
      <c r="F9" s="244"/>
    </row>
    <row r="10" spans="1:6" s="234" customFormat="1">
      <c r="A10" s="245" t="s">
        <v>8</v>
      </c>
      <c r="B10" s="246" t="s">
        <v>49</v>
      </c>
      <c r="C10" s="247">
        <f>C11</f>
        <v>157736000</v>
      </c>
      <c r="D10" s="247">
        <f t="shared" ref="D10:E11" si="1">D11</f>
        <v>140756000</v>
      </c>
      <c r="E10" s="247">
        <f t="shared" si="1"/>
        <v>16980000</v>
      </c>
      <c r="F10" s="246"/>
    </row>
    <row r="11" spans="1:6" ht="47.25">
      <c r="A11" s="5">
        <v>1</v>
      </c>
      <c r="B11" s="248" t="s">
        <v>53</v>
      </c>
      <c r="C11" s="249">
        <f>C12</f>
        <v>157736000</v>
      </c>
      <c r="D11" s="249">
        <f t="shared" si="1"/>
        <v>140756000</v>
      </c>
      <c r="E11" s="249">
        <f t="shared" si="1"/>
        <v>16980000</v>
      </c>
      <c r="F11" s="250"/>
    </row>
    <row r="12" spans="1:6" ht="47.25">
      <c r="A12" s="5" t="s">
        <v>32</v>
      </c>
      <c r="B12" s="6" t="s">
        <v>54</v>
      </c>
      <c r="C12" s="29">
        <f>SUM(D12:E12)</f>
        <v>157736000</v>
      </c>
      <c r="D12" s="29">
        <v>140756000</v>
      </c>
      <c r="E12" s="29">
        <v>16980000</v>
      </c>
      <c r="F12" s="6" t="s">
        <v>370</v>
      </c>
    </row>
    <row r="13" spans="1:6" s="234" customFormat="1">
      <c r="A13" s="245" t="s">
        <v>20</v>
      </c>
      <c r="B13" s="246" t="s">
        <v>57</v>
      </c>
      <c r="C13" s="247">
        <f>C14</f>
        <v>487729400</v>
      </c>
      <c r="D13" s="247">
        <f t="shared" ref="D13:E13" si="2">D14</f>
        <v>487729400</v>
      </c>
      <c r="E13" s="247">
        <f t="shared" si="2"/>
        <v>0</v>
      </c>
      <c r="F13" s="246"/>
    </row>
    <row r="14" spans="1:6" ht="47.25">
      <c r="A14" s="5">
        <v>1</v>
      </c>
      <c r="B14" s="37" t="s">
        <v>44</v>
      </c>
      <c r="C14" s="18">
        <f>SUM(D14:E14)</f>
        <v>487729400</v>
      </c>
      <c r="D14" s="18">
        <v>487729400</v>
      </c>
      <c r="E14" s="18"/>
      <c r="F14" s="6" t="s">
        <v>371</v>
      </c>
    </row>
    <row r="15" spans="1:6">
      <c r="A15" s="14" t="s">
        <v>55</v>
      </c>
      <c r="B15" s="16" t="s">
        <v>48</v>
      </c>
      <c r="C15" s="21">
        <f>C16</f>
        <v>90000000</v>
      </c>
      <c r="D15" s="21">
        <f t="shared" ref="D15:E16" si="3">D16</f>
        <v>90000000</v>
      </c>
      <c r="E15" s="21">
        <f t="shared" si="3"/>
        <v>0</v>
      </c>
      <c r="F15" s="16"/>
    </row>
    <row r="16" spans="1:6" s="2" customFormat="1" ht="31.5">
      <c r="A16" s="78">
        <v>1</v>
      </c>
      <c r="B16" s="422" t="s">
        <v>128</v>
      </c>
      <c r="C16" s="383">
        <f>C17</f>
        <v>90000000</v>
      </c>
      <c r="D16" s="383">
        <f t="shared" si="3"/>
        <v>90000000</v>
      </c>
      <c r="E16" s="20"/>
      <c r="F16" s="10"/>
    </row>
    <row r="17" spans="1:6" ht="31.5">
      <c r="A17" s="252" t="s">
        <v>32</v>
      </c>
      <c r="B17" s="253" t="s">
        <v>372</v>
      </c>
      <c r="C17" s="254">
        <f>D17+E17</f>
        <v>90000000</v>
      </c>
      <c r="D17" s="254">
        <v>90000000</v>
      </c>
      <c r="E17" s="18"/>
      <c r="F17" s="6" t="s">
        <v>373</v>
      </c>
    </row>
    <row r="18" spans="1:6">
      <c r="A18" s="14" t="s">
        <v>56</v>
      </c>
      <c r="B18" s="16" t="s">
        <v>76</v>
      </c>
      <c r="C18" s="21">
        <f>C19</f>
        <v>2940000000</v>
      </c>
      <c r="D18" s="21">
        <f t="shared" ref="D18:E18" si="4">D19</f>
        <v>2940000000</v>
      </c>
      <c r="E18" s="21">
        <f t="shared" si="4"/>
        <v>0</v>
      </c>
      <c r="F18" s="16"/>
    </row>
    <row r="19" spans="1:6" ht="126">
      <c r="A19" s="5">
        <v>1</v>
      </c>
      <c r="B19" s="6" t="s">
        <v>44</v>
      </c>
      <c r="C19" s="18">
        <f>SUM(D19:E19)</f>
        <v>2940000000</v>
      </c>
      <c r="D19" s="18">
        <v>2940000000</v>
      </c>
      <c r="E19" s="18"/>
      <c r="F19" s="6" t="s">
        <v>374</v>
      </c>
    </row>
    <row r="20" spans="1:6" s="234" customFormat="1" ht="18.75" customHeight="1">
      <c r="A20" s="245" t="s">
        <v>74</v>
      </c>
      <c r="B20" s="246" t="s">
        <v>346</v>
      </c>
      <c r="C20" s="247">
        <f>C21+C23+C24</f>
        <v>1645143400</v>
      </c>
      <c r="D20" s="247">
        <f>D21+D23+D24</f>
        <v>1645143400</v>
      </c>
      <c r="E20" s="247">
        <v>0</v>
      </c>
      <c r="F20" s="246"/>
    </row>
    <row r="21" spans="1:6" s="234" customFormat="1" ht="32.25" customHeight="1">
      <c r="A21" s="280">
        <v>1</v>
      </c>
      <c r="B21" s="384" t="s">
        <v>85</v>
      </c>
      <c r="C21" s="385">
        <f>C22</f>
        <v>802000000</v>
      </c>
      <c r="D21" s="385">
        <f>D22</f>
        <v>802000000</v>
      </c>
      <c r="E21" s="385"/>
      <c r="F21" s="248"/>
    </row>
    <row r="22" spans="1:6" ht="110.25">
      <c r="A22" s="5" t="s">
        <v>32</v>
      </c>
      <c r="B22" s="352" t="s">
        <v>365</v>
      </c>
      <c r="C22" s="18">
        <f>D22</f>
        <v>802000000</v>
      </c>
      <c r="D22" s="18">
        <v>802000000</v>
      </c>
      <c r="E22" s="18"/>
      <c r="F22" s="6" t="s">
        <v>750</v>
      </c>
    </row>
    <row r="23" spans="1:6" s="234" customFormat="1" ht="110.25">
      <c r="A23" s="280">
        <v>2</v>
      </c>
      <c r="B23" s="384" t="s">
        <v>44</v>
      </c>
      <c r="C23" s="293">
        <f>D23</f>
        <v>414000000</v>
      </c>
      <c r="D23" s="293">
        <v>414000000</v>
      </c>
      <c r="E23" s="293"/>
      <c r="F23" s="22" t="s">
        <v>751</v>
      </c>
    </row>
    <row r="24" spans="1:6" ht="78.75">
      <c r="A24" s="280">
        <v>3</v>
      </c>
      <c r="B24" s="384" t="s">
        <v>45</v>
      </c>
      <c r="C24" s="293">
        <f>C25</f>
        <v>429143400</v>
      </c>
      <c r="D24" s="293">
        <f>D25</f>
        <v>429143400</v>
      </c>
      <c r="E24" s="293"/>
      <c r="F24" s="250"/>
    </row>
    <row r="25" spans="1:6" s="86" customFormat="1" ht="94.5">
      <c r="A25" s="63" t="s">
        <v>32</v>
      </c>
      <c r="B25" s="69" t="s">
        <v>360</v>
      </c>
      <c r="C25" s="378">
        <f>D25</f>
        <v>429143400</v>
      </c>
      <c r="D25" s="378">
        <v>429143400</v>
      </c>
      <c r="E25" s="218"/>
      <c r="F25" s="22" t="s">
        <v>752</v>
      </c>
    </row>
    <row r="26" spans="1:6" s="234" customFormat="1" ht="19.5" customHeight="1">
      <c r="A26" s="245" t="s">
        <v>75</v>
      </c>
      <c r="B26" s="246" t="s">
        <v>340</v>
      </c>
      <c r="C26" s="247">
        <f>C27+C28</f>
        <v>186000000</v>
      </c>
      <c r="D26" s="247">
        <f t="shared" ref="D26:E26" si="5">D27+D28</f>
        <v>186000000</v>
      </c>
      <c r="E26" s="247">
        <f t="shared" si="5"/>
        <v>0</v>
      </c>
      <c r="F26" s="246"/>
    </row>
    <row r="27" spans="1:6" s="234" customFormat="1" ht="62.25" customHeight="1">
      <c r="A27" s="8">
        <v>1</v>
      </c>
      <c r="B27" s="9" t="s">
        <v>44</v>
      </c>
      <c r="C27" s="20">
        <f>SUM(D27:E27)</f>
        <v>147000000</v>
      </c>
      <c r="D27" s="20">
        <v>147000000</v>
      </c>
      <c r="E27" s="293"/>
      <c r="F27" s="6" t="s">
        <v>371</v>
      </c>
    </row>
    <row r="28" spans="1:6" s="234" customFormat="1" ht="78.75">
      <c r="A28" s="8">
        <v>2</v>
      </c>
      <c r="B28" s="9" t="s">
        <v>45</v>
      </c>
      <c r="C28" s="20">
        <f>C29</f>
        <v>39000000</v>
      </c>
      <c r="D28" s="20">
        <f t="shared" ref="D28:E28" si="6">D29</f>
        <v>39000000</v>
      </c>
      <c r="E28" s="20">
        <f t="shared" si="6"/>
        <v>0</v>
      </c>
      <c r="F28" s="22"/>
    </row>
    <row r="29" spans="1:6" s="234" customFormat="1" ht="75" customHeight="1">
      <c r="A29" s="381"/>
      <c r="B29" s="87" t="s">
        <v>46</v>
      </c>
      <c r="C29" s="380">
        <f>SUM(D29:E29)</f>
        <v>39000000</v>
      </c>
      <c r="D29" s="380">
        <v>39000000</v>
      </c>
      <c r="E29" s="382"/>
      <c r="F29" s="87" t="s">
        <v>822</v>
      </c>
    </row>
  </sheetData>
  <mergeCells count="9">
    <mergeCell ref="A9:B9"/>
    <mergeCell ref="A2:F2"/>
    <mergeCell ref="A3:F3"/>
    <mergeCell ref="A6:A8"/>
    <mergeCell ref="B6:B8"/>
    <mergeCell ref="C6:E6"/>
    <mergeCell ref="F6:F8"/>
    <mergeCell ref="C7:C8"/>
    <mergeCell ref="D7:E7"/>
  </mergeCells>
  <pageMargins left="0.70866141732283472" right="0.35433070866141736" top="0.55000000000000004" bottom="0.61" header="0.31496062992125984" footer="0.15748031496062992"/>
  <pageSetup paperSize="9" scale="87" fitToHeight="0" orientation="landscape" verticalDpi="0"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J86"/>
  <sheetViews>
    <sheetView workbookViewId="0">
      <selection activeCell="G9" sqref="G9"/>
    </sheetView>
  </sheetViews>
  <sheetFormatPr defaultColWidth="9" defaultRowHeight="15.75"/>
  <cols>
    <col min="1" max="1" width="6.75" style="1" customWidth="1"/>
    <col min="2" max="2" width="36.625" style="1" customWidth="1"/>
    <col min="3" max="4" width="15.875" style="1" customWidth="1"/>
    <col min="5" max="7" width="18.5" style="1" customWidth="1"/>
    <col min="8" max="8" width="26.25" style="1" customWidth="1"/>
    <col min="9" max="16384" width="9" style="1"/>
  </cols>
  <sheetData>
    <row r="1" spans="1:8" ht="23.25" customHeight="1">
      <c r="H1" s="55" t="s">
        <v>744</v>
      </c>
    </row>
    <row r="2" spans="1:8" ht="42" customHeight="1">
      <c r="A2" s="676" t="s">
        <v>375</v>
      </c>
      <c r="B2" s="695"/>
      <c r="C2" s="695"/>
      <c r="D2" s="695"/>
      <c r="E2" s="695"/>
      <c r="F2" s="695"/>
      <c r="G2" s="695"/>
      <c r="H2" s="695"/>
    </row>
    <row r="3" spans="1:8" ht="19.5" customHeight="1">
      <c r="A3" s="678" t="str">
        <f>'B4 TM tăng DTTS'!A3:F3</f>
        <v>(Kèm theo Tờ trình số:                  /TTr-UBND ngày               /5/2024 của UBND tỉnh Bắc Kạn)</v>
      </c>
      <c r="B3" s="678"/>
      <c r="C3" s="678"/>
      <c r="D3" s="678"/>
      <c r="E3" s="678"/>
      <c r="F3" s="678"/>
      <c r="G3" s="678"/>
      <c r="H3" s="678"/>
    </row>
    <row r="5" spans="1:8">
      <c r="H5" s="56" t="s">
        <v>23</v>
      </c>
    </row>
    <row r="6" spans="1:8" ht="36.75" customHeight="1">
      <c r="A6" s="725" t="s">
        <v>1</v>
      </c>
      <c r="B6" s="694" t="s">
        <v>376</v>
      </c>
      <c r="C6" s="694" t="s">
        <v>377</v>
      </c>
      <c r="D6" s="694" t="s">
        <v>378</v>
      </c>
      <c r="E6" s="694" t="s">
        <v>379</v>
      </c>
      <c r="F6" s="694"/>
      <c r="G6" s="694"/>
      <c r="H6" s="694" t="s">
        <v>380</v>
      </c>
    </row>
    <row r="7" spans="1:8" ht="21.75" customHeight="1">
      <c r="A7" s="725"/>
      <c r="B7" s="694"/>
      <c r="C7" s="694"/>
      <c r="D7" s="694"/>
      <c r="E7" s="694" t="s">
        <v>10</v>
      </c>
      <c r="F7" s="694" t="s">
        <v>11</v>
      </c>
      <c r="G7" s="694"/>
      <c r="H7" s="694"/>
    </row>
    <row r="8" spans="1:8" ht="33.4" customHeight="1">
      <c r="A8" s="725"/>
      <c r="B8" s="694"/>
      <c r="C8" s="694"/>
      <c r="D8" s="694"/>
      <c r="E8" s="694"/>
      <c r="F8" s="3" t="str">
        <f>'B3 PAĐC NTM'!G7</f>
        <v>Ngân sách trung ương</v>
      </c>
      <c r="G8" s="3" t="str">
        <f>'B4 TM tăng DTTS'!E8</f>
        <v>Ngân sách địa phương</v>
      </c>
      <c r="H8" s="694"/>
    </row>
    <row r="9" spans="1:8" s="106" customFormat="1" ht="16.5" customHeight="1">
      <c r="A9" s="258">
        <v>1</v>
      </c>
      <c r="B9" s="259">
        <v>2</v>
      </c>
      <c r="C9" s="258">
        <v>3</v>
      </c>
      <c r="D9" s="259">
        <v>4</v>
      </c>
      <c r="E9" s="258" t="s">
        <v>381</v>
      </c>
      <c r="F9" s="259">
        <v>6</v>
      </c>
      <c r="G9" s="258">
        <v>7</v>
      </c>
      <c r="H9" s="259">
        <v>8</v>
      </c>
    </row>
    <row r="10" spans="1:8" s="2" customFormat="1" ht="24.75" customHeight="1">
      <c r="A10" s="677" t="s">
        <v>25</v>
      </c>
      <c r="B10" s="677"/>
      <c r="C10" s="17">
        <f>C11+C29+C59+C84</f>
        <v>31122886370</v>
      </c>
      <c r="D10" s="17">
        <f>D11+D29+D59+D84</f>
        <v>0</v>
      </c>
      <c r="E10" s="17">
        <f>E11+E29+E59+E84</f>
        <v>31012153770</v>
      </c>
      <c r="F10" s="17">
        <f>F11+F29+F59+F84</f>
        <v>30821737770</v>
      </c>
      <c r="G10" s="17">
        <f>G11+G29+G59+G84</f>
        <v>190416000</v>
      </c>
      <c r="H10" s="4"/>
    </row>
    <row r="11" spans="1:8" ht="18.75" customHeight="1">
      <c r="A11" s="14" t="s">
        <v>8</v>
      </c>
      <c r="B11" s="16" t="s">
        <v>48</v>
      </c>
      <c r="C11" s="21">
        <f>C12+C15+C19+C21+C24+C26</f>
        <v>10434876370</v>
      </c>
      <c r="D11" s="21">
        <f t="shared" ref="D11:G11" si="0">D12+D15+D19+D21+D24+D26</f>
        <v>0</v>
      </c>
      <c r="E11" s="21">
        <f t="shared" si="0"/>
        <v>10426617370</v>
      </c>
      <c r="F11" s="21">
        <f t="shared" si="0"/>
        <v>10426617370</v>
      </c>
      <c r="G11" s="21">
        <f t="shared" si="0"/>
        <v>0</v>
      </c>
      <c r="H11" s="16"/>
    </row>
    <row r="12" spans="1:8">
      <c r="A12" s="260" t="s">
        <v>382</v>
      </c>
      <c r="B12" s="261" t="s">
        <v>383</v>
      </c>
      <c r="C12" s="262">
        <f>SUM(C13:C14)</f>
        <v>1300000000</v>
      </c>
      <c r="D12" s="262">
        <f t="shared" ref="D12:G12" si="1">SUM(D13:D14)</f>
        <v>0</v>
      </c>
      <c r="E12" s="262">
        <f t="shared" si="1"/>
        <v>1300000000</v>
      </c>
      <c r="F12" s="262">
        <f t="shared" si="1"/>
        <v>1300000000</v>
      </c>
      <c r="G12" s="262">
        <f t="shared" si="1"/>
        <v>0</v>
      </c>
      <c r="H12" s="7"/>
    </row>
    <row r="13" spans="1:8">
      <c r="A13" s="263"/>
      <c r="B13" s="264" t="s">
        <v>384</v>
      </c>
      <c r="C13" s="265">
        <v>700000000</v>
      </c>
      <c r="D13" s="254"/>
      <c r="E13" s="254">
        <f>F13+G13</f>
        <v>700000000</v>
      </c>
      <c r="F13" s="265">
        <v>700000000</v>
      </c>
      <c r="G13" s="18"/>
      <c r="H13" s="7"/>
    </row>
    <row r="14" spans="1:8">
      <c r="A14" s="263"/>
      <c r="B14" s="264" t="s">
        <v>385</v>
      </c>
      <c r="C14" s="265">
        <v>600000000</v>
      </c>
      <c r="D14" s="254"/>
      <c r="E14" s="254">
        <f t="shared" ref="E14:E28" si="2">F14+G14</f>
        <v>600000000</v>
      </c>
      <c r="F14" s="265">
        <v>600000000</v>
      </c>
      <c r="G14" s="18"/>
      <c r="H14" s="7"/>
    </row>
    <row r="15" spans="1:8">
      <c r="A15" s="260" t="s">
        <v>386</v>
      </c>
      <c r="B15" s="261" t="s">
        <v>387</v>
      </c>
      <c r="C15" s="262">
        <f>SUM(C16:C18)</f>
        <v>2151623550</v>
      </c>
      <c r="D15" s="262">
        <f t="shared" ref="D15:G15" si="3">SUM(D16:D18)</f>
        <v>0</v>
      </c>
      <c r="E15" s="262">
        <f t="shared" si="3"/>
        <v>2151623550</v>
      </c>
      <c r="F15" s="262">
        <f t="shared" si="3"/>
        <v>2151623550</v>
      </c>
      <c r="G15" s="262">
        <f t="shared" si="3"/>
        <v>0</v>
      </c>
      <c r="H15" s="7"/>
    </row>
    <row r="16" spans="1:8">
      <c r="A16" s="263"/>
      <c r="B16" s="264" t="s">
        <v>388</v>
      </c>
      <c r="C16" s="265">
        <v>450000000</v>
      </c>
      <c r="D16" s="254"/>
      <c r="E16" s="254">
        <f>F16+G16</f>
        <v>450000000</v>
      </c>
      <c r="F16" s="265">
        <v>450000000</v>
      </c>
      <c r="G16" s="18"/>
      <c r="H16" s="7"/>
    </row>
    <row r="17" spans="1:8">
      <c r="A17" s="263"/>
      <c r="B17" s="264" t="s">
        <v>389</v>
      </c>
      <c r="C17" s="265">
        <v>650000000</v>
      </c>
      <c r="D17" s="254"/>
      <c r="E17" s="254">
        <f t="shared" si="2"/>
        <v>650000000</v>
      </c>
      <c r="F17" s="265">
        <v>650000000</v>
      </c>
      <c r="G17" s="18"/>
      <c r="H17" s="7"/>
    </row>
    <row r="18" spans="1:8">
      <c r="A18" s="263"/>
      <c r="B18" s="264" t="s">
        <v>390</v>
      </c>
      <c r="C18" s="265">
        <v>1051623550</v>
      </c>
      <c r="D18" s="254"/>
      <c r="E18" s="254">
        <f t="shared" si="2"/>
        <v>1051623550</v>
      </c>
      <c r="F18" s="265">
        <v>1051623550</v>
      </c>
      <c r="G18" s="18"/>
      <c r="H18" s="7"/>
    </row>
    <row r="19" spans="1:8">
      <c r="A19" s="260" t="s">
        <v>391</v>
      </c>
      <c r="B19" s="261" t="s">
        <v>392</v>
      </c>
      <c r="C19" s="262">
        <f>C20</f>
        <v>423974484</v>
      </c>
      <c r="D19" s="262">
        <f t="shared" ref="D19:G19" si="4">D20</f>
        <v>0</v>
      </c>
      <c r="E19" s="262">
        <f t="shared" si="4"/>
        <v>423974484</v>
      </c>
      <c r="F19" s="262">
        <f t="shared" si="4"/>
        <v>423974484</v>
      </c>
      <c r="G19" s="262">
        <f t="shared" si="4"/>
        <v>0</v>
      </c>
      <c r="H19" s="7"/>
    </row>
    <row r="20" spans="1:8">
      <c r="A20" s="263"/>
      <c r="B20" s="264" t="s">
        <v>384</v>
      </c>
      <c r="C20" s="254">
        <f t="shared" ref="C20" si="5">D20+E20</f>
        <v>423974484</v>
      </c>
      <c r="D20" s="254"/>
      <c r="E20" s="254">
        <f t="shared" si="2"/>
        <v>423974484</v>
      </c>
      <c r="F20" s="265">
        <v>423974484</v>
      </c>
      <c r="G20" s="18"/>
      <c r="H20" s="7"/>
    </row>
    <row r="21" spans="1:8">
      <c r="A21" s="260" t="s">
        <v>393</v>
      </c>
      <c r="B21" s="261" t="s">
        <v>394</v>
      </c>
      <c r="C21" s="262">
        <f>SUM(C22:C23)</f>
        <v>4332000000</v>
      </c>
      <c r="D21" s="262">
        <f t="shared" ref="D21:G21" si="6">SUM(D22:D23)</f>
        <v>0</v>
      </c>
      <c r="E21" s="262">
        <f t="shared" si="6"/>
        <v>4323741000</v>
      </c>
      <c r="F21" s="262">
        <f t="shared" si="6"/>
        <v>4323741000</v>
      </c>
      <c r="G21" s="262">
        <f t="shared" si="6"/>
        <v>0</v>
      </c>
      <c r="H21" s="7"/>
    </row>
    <row r="22" spans="1:8" ht="31.5">
      <c r="A22" s="263"/>
      <c r="B22" s="264" t="s">
        <v>395</v>
      </c>
      <c r="C22" s="265">
        <v>3882000000</v>
      </c>
      <c r="D22" s="254"/>
      <c r="E22" s="254">
        <f t="shared" si="2"/>
        <v>3873741000</v>
      </c>
      <c r="F22" s="266">
        <f>3882000000-8259000</f>
        <v>3873741000</v>
      </c>
      <c r="G22" s="18"/>
      <c r="H22" s="7"/>
    </row>
    <row r="23" spans="1:8" ht="31.5">
      <c r="A23" s="263"/>
      <c r="B23" s="264" t="s">
        <v>396</v>
      </c>
      <c r="C23" s="265">
        <v>450000000</v>
      </c>
      <c r="D23" s="254"/>
      <c r="E23" s="254">
        <f t="shared" si="2"/>
        <v>450000000</v>
      </c>
      <c r="F23" s="265">
        <v>450000000</v>
      </c>
      <c r="G23" s="18"/>
      <c r="H23" s="7"/>
    </row>
    <row r="24" spans="1:8">
      <c r="A24" s="260" t="s">
        <v>397</v>
      </c>
      <c r="B24" s="261" t="s">
        <v>398</v>
      </c>
      <c r="C24" s="262">
        <f>C25</f>
        <v>1347000000</v>
      </c>
      <c r="D24" s="262">
        <f t="shared" ref="D24:G24" si="7">D25</f>
        <v>0</v>
      </c>
      <c r="E24" s="262">
        <f t="shared" si="7"/>
        <v>1347000000</v>
      </c>
      <c r="F24" s="262">
        <f t="shared" si="7"/>
        <v>1347000000</v>
      </c>
      <c r="G24" s="262">
        <f t="shared" si="7"/>
        <v>0</v>
      </c>
      <c r="H24" s="267"/>
    </row>
    <row r="25" spans="1:8">
      <c r="A25" s="263"/>
      <c r="B25" s="264" t="s">
        <v>384</v>
      </c>
      <c r="C25" s="265">
        <v>1347000000</v>
      </c>
      <c r="D25" s="254"/>
      <c r="E25" s="254">
        <f t="shared" si="2"/>
        <v>1347000000</v>
      </c>
      <c r="F25" s="265">
        <v>1347000000</v>
      </c>
      <c r="G25" s="18"/>
      <c r="H25" s="7"/>
    </row>
    <row r="26" spans="1:8">
      <c r="A26" s="260" t="s">
        <v>399</v>
      </c>
      <c r="B26" s="261" t="s">
        <v>400</v>
      </c>
      <c r="C26" s="262">
        <f>SUM(C27:C28)</f>
        <v>880278336</v>
      </c>
      <c r="D26" s="262">
        <f t="shared" ref="D26:G26" si="8">SUM(D27:D28)</f>
        <v>0</v>
      </c>
      <c r="E26" s="262">
        <f t="shared" si="8"/>
        <v>880278336</v>
      </c>
      <c r="F26" s="262">
        <f t="shared" si="8"/>
        <v>880278336</v>
      </c>
      <c r="G26" s="262">
        <f t="shared" si="8"/>
        <v>0</v>
      </c>
      <c r="H26" s="7"/>
    </row>
    <row r="27" spans="1:8">
      <c r="A27" s="263"/>
      <c r="B27" s="264" t="s">
        <v>384</v>
      </c>
      <c r="C27" s="265">
        <v>416000000</v>
      </c>
      <c r="D27" s="254"/>
      <c r="E27" s="254">
        <f t="shared" si="2"/>
        <v>416000000</v>
      </c>
      <c r="F27" s="265">
        <v>416000000</v>
      </c>
      <c r="G27" s="18"/>
      <c r="H27" s="7"/>
    </row>
    <row r="28" spans="1:8">
      <c r="A28" s="263"/>
      <c r="B28" s="264" t="s">
        <v>401</v>
      </c>
      <c r="C28" s="265">
        <v>464278336</v>
      </c>
      <c r="D28" s="254"/>
      <c r="E28" s="254">
        <f t="shared" si="2"/>
        <v>464278336</v>
      </c>
      <c r="F28" s="265">
        <v>464278336</v>
      </c>
      <c r="G28" s="18"/>
      <c r="H28" s="7"/>
    </row>
    <row r="29" spans="1:8" ht="18.75" customHeight="1">
      <c r="A29" s="14" t="s">
        <v>20</v>
      </c>
      <c r="B29" s="16" t="s">
        <v>76</v>
      </c>
      <c r="C29" s="21">
        <f>C30+C33+C36+C39+C42+C45+C47+C50+C52+C55+C57</f>
        <v>8850010000</v>
      </c>
      <c r="D29" s="21">
        <f>D30+D33+D36+D39+D42+D45+D47+D50+D52+D55+D57</f>
        <v>0</v>
      </c>
      <c r="E29" s="21">
        <f>E30+E33+E36+E39+E42+E45+E47+E50+E52+E55+E57</f>
        <v>8850010000</v>
      </c>
      <c r="F29" s="21">
        <f>F30+F33+F36+F39+F42+F45+F47+F50+F52+F55+F57</f>
        <v>8737994000</v>
      </c>
      <c r="G29" s="21">
        <f>G30+G33+G36+G39+G42+G45+G47+G50+G52+G55+G57</f>
        <v>112016000</v>
      </c>
      <c r="H29" s="16"/>
    </row>
    <row r="30" spans="1:8" s="86" customFormat="1">
      <c r="A30" s="49">
        <v>1</v>
      </c>
      <c r="B30" s="268" t="s">
        <v>402</v>
      </c>
      <c r="C30" s="270">
        <f t="shared" ref="C30:D30" si="9">SUM(C31:C32)</f>
        <v>1348810000</v>
      </c>
      <c r="D30" s="270">
        <f t="shared" si="9"/>
        <v>0</v>
      </c>
      <c r="E30" s="270">
        <f>SUM(E31:E32)</f>
        <v>1348810000</v>
      </c>
      <c r="F30" s="270">
        <f t="shared" ref="F30:G30" si="10">SUM(F31:F32)</f>
        <v>1317444000</v>
      </c>
      <c r="G30" s="270">
        <f t="shared" si="10"/>
        <v>31366000</v>
      </c>
      <c r="H30" s="215"/>
    </row>
    <row r="31" spans="1:8" s="86" customFormat="1" ht="31.5">
      <c r="A31" s="130"/>
      <c r="B31" s="271" t="s">
        <v>403</v>
      </c>
      <c r="C31" s="51">
        <f>E31</f>
        <v>480160000</v>
      </c>
      <c r="D31" s="51"/>
      <c r="E31" s="272">
        <f>SUM(F31:G31)</f>
        <v>480160000</v>
      </c>
      <c r="F31" s="272">
        <v>457360000</v>
      </c>
      <c r="G31" s="272">
        <v>22800000</v>
      </c>
      <c r="H31" s="215"/>
    </row>
    <row r="32" spans="1:8" s="86" customFormat="1" ht="31.5">
      <c r="A32" s="130"/>
      <c r="B32" s="271" t="s">
        <v>404</v>
      </c>
      <c r="C32" s="51">
        <f t="shared" ref="C32:C58" si="11">E32</f>
        <v>868650000</v>
      </c>
      <c r="D32" s="51"/>
      <c r="E32" s="272">
        <f>SUM(F32:G32)</f>
        <v>868650000</v>
      </c>
      <c r="F32" s="272">
        <f>825650000+34434000</f>
        <v>860084000</v>
      </c>
      <c r="G32" s="272">
        <f>43000000-34434000</f>
        <v>8566000</v>
      </c>
      <c r="H32" s="215"/>
    </row>
    <row r="33" spans="1:8" s="86" customFormat="1">
      <c r="A33" s="49">
        <v>2</v>
      </c>
      <c r="B33" s="268" t="s">
        <v>405</v>
      </c>
      <c r="C33" s="273">
        <f>SUM(C34:C35)</f>
        <v>330530000</v>
      </c>
      <c r="D33" s="273">
        <f>SUM(D34:D35)</f>
        <v>0</v>
      </c>
      <c r="E33" s="273">
        <f>SUM(E34:E35)</f>
        <v>330530000</v>
      </c>
      <c r="F33" s="273">
        <f>SUM(F34:F35)</f>
        <v>328880000</v>
      </c>
      <c r="G33" s="273">
        <f>SUM(G34:G35)</f>
        <v>1650000</v>
      </c>
      <c r="H33" s="215"/>
    </row>
    <row r="34" spans="1:8" s="86" customFormat="1" ht="31.5">
      <c r="A34" s="130"/>
      <c r="B34" s="271" t="s">
        <v>406</v>
      </c>
      <c r="C34" s="51">
        <f t="shared" si="11"/>
        <v>30530000</v>
      </c>
      <c r="D34" s="51"/>
      <c r="E34" s="272">
        <f>SUM(F34:G34)</f>
        <v>30530000</v>
      </c>
      <c r="F34" s="272">
        <v>28880000</v>
      </c>
      <c r="G34" s="272">
        <v>1650000</v>
      </c>
      <c r="H34" s="215"/>
    </row>
    <row r="35" spans="1:8" s="86" customFormat="1" ht="31.5">
      <c r="A35" s="130"/>
      <c r="B35" s="271" t="s">
        <v>407</v>
      </c>
      <c r="C35" s="51">
        <f t="shared" si="11"/>
        <v>300000000</v>
      </c>
      <c r="D35" s="51"/>
      <c r="E35" s="272">
        <f t="shared" ref="E35" si="12">SUM(F35:G35)</f>
        <v>300000000</v>
      </c>
      <c r="F35" s="272">
        <v>300000000</v>
      </c>
      <c r="G35" s="272">
        <v>0</v>
      </c>
      <c r="H35" s="215"/>
    </row>
    <row r="36" spans="1:8" s="86" customFormat="1">
      <c r="A36" s="274">
        <v>3</v>
      </c>
      <c r="B36" s="268" t="s">
        <v>408</v>
      </c>
      <c r="C36" s="270">
        <f t="shared" ref="C36:D36" si="13">SUM(C37:C38)</f>
        <v>827670000</v>
      </c>
      <c r="D36" s="270">
        <f t="shared" si="13"/>
        <v>0</v>
      </c>
      <c r="E36" s="270">
        <f>SUM(E37:E38)</f>
        <v>827670000</v>
      </c>
      <c r="F36" s="270">
        <f t="shared" ref="F36:G36" si="14">SUM(F37:F38)</f>
        <v>803670000</v>
      </c>
      <c r="G36" s="270">
        <f t="shared" si="14"/>
        <v>24000000</v>
      </c>
      <c r="H36" s="215"/>
    </row>
    <row r="37" spans="1:8" s="86" customFormat="1" ht="31.5">
      <c r="A37" s="130"/>
      <c r="B37" s="271" t="s">
        <v>403</v>
      </c>
      <c r="C37" s="51">
        <f t="shared" si="11"/>
        <v>477670000</v>
      </c>
      <c r="D37" s="51"/>
      <c r="E37" s="272">
        <f>SUM(F37:G37)</f>
        <v>477670000</v>
      </c>
      <c r="F37" s="272">
        <v>453670000</v>
      </c>
      <c r="G37" s="272">
        <v>24000000</v>
      </c>
      <c r="H37" s="215"/>
    </row>
    <row r="38" spans="1:8" s="86" customFormat="1" ht="33">
      <c r="A38" s="130"/>
      <c r="B38" s="275" t="s">
        <v>409</v>
      </c>
      <c r="C38" s="51">
        <f t="shared" si="11"/>
        <v>350000000</v>
      </c>
      <c r="D38" s="51"/>
      <c r="E38" s="272">
        <f>SUM(F38:G38)</f>
        <v>350000000</v>
      </c>
      <c r="F38" s="272">
        <v>350000000</v>
      </c>
      <c r="G38" s="272"/>
      <c r="H38" s="215"/>
    </row>
    <row r="39" spans="1:8" s="86" customFormat="1">
      <c r="A39" s="274">
        <v>4</v>
      </c>
      <c r="B39" s="268" t="s">
        <v>410</v>
      </c>
      <c r="C39" s="270">
        <f t="shared" ref="C39:D39" si="15">SUM(C40:C41)</f>
        <v>1333000000</v>
      </c>
      <c r="D39" s="270">
        <f t="shared" si="15"/>
        <v>0</v>
      </c>
      <c r="E39" s="270">
        <f>SUM(E40:E41)</f>
        <v>1333000000</v>
      </c>
      <c r="F39" s="270">
        <f t="shared" ref="F39:G39" si="16">SUM(F40:F41)</f>
        <v>1306000000</v>
      </c>
      <c r="G39" s="270">
        <f t="shared" si="16"/>
        <v>27000000</v>
      </c>
      <c r="H39" s="215"/>
    </row>
    <row r="40" spans="1:8" s="86" customFormat="1" ht="31.5">
      <c r="A40" s="130"/>
      <c r="B40" s="271" t="s">
        <v>411</v>
      </c>
      <c r="C40" s="51">
        <f t="shared" si="11"/>
        <v>533000000</v>
      </c>
      <c r="D40" s="51"/>
      <c r="E40" s="272">
        <f>SUM(F40:G40)</f>
        <v>533000000</v>
      </c>
      <c r="F40" s="272">
        <v>506000000</v>
      </c>
      <c r="G40" s="272">
        <v>27000000</v>
      </c>
      <c r="H40" s="215"/>
    </row>
    <row r="41" spans="1:8" s="86" customFormat="1" ht="33">
      <c r="A41" s="130"/>
      <c r="B41" s="275" t="s">
        <v>412</v>
      </c>
      <c r="C41" s="51">
        <f t="shared" si="11"/>
        <v>800000000</v>
      </c>
      <c r="D41" s="51"/>
      <c r="E41" s="272">
        <f>SUM(F41:G41)</f>
        <v>800000000</v>
      </c>
      <c r="F41" s="272">
        <v>800000000</v>
      </c>
      <c r="G41" s="272"/>
      <c r="H41" s="215"/>
    </row>
    <row r="42" spans="1:8" s="86" customFormat="1">
      <c r="A42" s="274">
        <v>5</v>
      </c>
      <c r="B42" s="268" t="s">
        <v>413</v>
      </c>
      <c r="C42" s="270">
        <f t="shared" ref="C42:D42" si="17">SUM(C43:C44)</f>
        <v>1260000000</v>
      </c>
      <c r="D42" s="270">
        <f t="shared" si="17"/>
        <v>0</v>
      </c>
      <c r="E42" s="270">
        <f>SUM(E43:E44)</f>
        <v>1260000000</v>
      </c>
      <c r="F42" s="270">
        <f t="shared" ref="F42:G42" si="18">SUM(F43:F44)</f>
        <v>1232000000</v>
      </c>
      <c r="G42" s="270">
        <f t="shared" si="18"/>
        <v>28000000</v>
      </c>
      <c r="H42" s="215"/>
    </row>
    <row r="43" spans="1:8" s="86" customFormat="1" ht="31.5">
      <c r="A43" s="50"/>
      <c r="B43" s="271" t="s">
        <v>423</v>
      </c>
      <c r="C43" s="51">
        <f t="shared" si="11"/>
        <v>560000000</v>
      </c>
      <c r="D43" s="51"/>
      <c r="E43" s="272">
        <f>SUM(F43:G43)</f>
        <v>560000000</v>
      </c>
      <c r="F43" s="272">
        <v>532000000</v>
      </c>
      <c r="G43" s="272">
        <v>28000000</v>
      </c>
      <c r="H43" s="215"/>
    </row>
    <row r="44" spans="1:8" s="86" customFormat="1" ht="33">
      <c r="A44" s="50"/>
      <c r="B44" s="275" t="s">
        <v>412</v>
      </c>
      <c r="C44" s="51">
        <f t="shared" si="11"/>
        <v>700000000</v>
      </c>
      <c r="D44" s="51"/>
      <c r="E44" s="272">
        <f>SUM(F44:G44)</f>
        <v>700000000</v>
      </c>
      <c r="F44" s="272">
        <v>700000000</v>
      </c>
      <c r="G44" s="272"/>
      <c r="H44" s="215"/>
    </row>
    <row r="45" spans="1:8" s="86" customFormat="1">
      <c r="A45" s="49">
        <v>6</v>
      </c>
      <c r="B45" s="268" t="s">
        <v>414</v>
      </c>
      <c r="C45" s="273">
        <f t="shared" ref="C45:D45" si="19">+C46</f>
        <v>800000000</v>
      </c>
      <c r="D45" s="273">
        <f t="shared" si="19"/>
        <v>0</v>
      </c>
      <c r="E45" s="273">
        <f>+E46</f>
        <v>800000000</v>
      </c>
      <c r="F45" s="273">
        <f t="shared" ref="F45:G45" si="20">+F46</f>
        <v>800000000</v>
      </c>
      <c r="G45" s="273">
        <f t="shared" si="20"/>
        <v>0</v>
      </c>
      <c r="H45" s="215"/>
    </row>
    <row r="46" spans="1:8" s="86" customFormat="1" ht="33">
      <c r="A46" s="50"/>
      <c r="B46" s="275" t="s">
        <v>412</v>
      </c>
      <c r="C46" s="51">
        <f t="shared" si="11"/>
        <v>800000000</v>
      </c>
      <c r="D46" s="51"/>
      <c r="E46" s="272">
        <f>SUM(F46:G46)</f>
        <v>800000000</v>
      </c>
      <c r="F46" s="272">
        <v>800000000</v>
      </c>
      <c r="G46" s="272"/>
      <c r="H46" s="215"/>
    </row>
    <row r="47" spans="1:8" s="86" customFormat="1">
      <c r="A47" s="49">
        <v>7</v>
      </c>
      <c r="B47" s="268" t="s">
        <v>415</v>
      </c>
      <c r="C47" s="273">
        <f t="shared" ref="C47:D47" si="21">SUM(C48:C49)</f>
        <v>1000000000</v>
      </c>
      <c r="D47" s="273">
        <f t="shared" si="21"/>
        <v>0</v>
      </c>
      <c r="E47" s="273">
        <f>SUM(E48:E49)</f>
        <v>1000000000</v>
      </c>
      <c r="F47" s="273">
        <f t="shared" ref="F47:G47" si="22">SUM(F48:F49)</f>
        <v>1000000000</v>
      </c>
      <c r="G47" s="273">
        <f t="shared" si="22"/>
        <v>0</v>
      </c>
      <c r="H47" s="215"/>
    </row>
    <row r="48" spans="1:8" s="86" customFormat="1" ht="33">
      <c r="A48" s="50"/>
      <c r="B48" s="275" t="s">
        <v>416</v>
      </c>
      <c r="C48" s="51">
        <f t="shared" si="11"/>
        <v>500000000</v>
      </c>
      <c r="D48" s="51"/>
      <c r="E48" s="272">
        <f>SUM(F48:G48)</f>
        <v>500000000</v>
      </c>
      <c r="F48" s="272">
        <v>500000000</v>
      </c>
      <c r="G48" s="272"/>
      <c r="H48" s="215"/>
    </row>
    <row r="49" spans="1:9" s="86" customFormat="1" ht="33">
      <c r="A49" s="50"/>
      <c r="B49" s="275" t="s">
        <v>403</v>
      </c>
      <c r="C49" s="51">
        <f t="shared" si="11"/>
        <v>500000000</v>
      </c>
      <c r="D49" s="51"/>
      <c r="E49" s="272">
        <f>SUM(F49:G49)</f>
        <v>500000000</v>
      </c>
      <c r="F49" s="272">
        <v>500000000</v>
      </c>
      <c r="G49" s="272"/>
      <c r="H49" s="215"/>
    </row>
    <row r="50" spans="1:9" s="86" customFormat="1">
      <c r="A50" s="49">
        <v>8</v>
      </c>
      <c r="B50" s="268" t="s">
        <v>417</v>
      </c>
      <c r="C50" s="273">
        <f t="shared" ref="C50:D50" si="23">+C51</f>
        <v>400000000</v>
      </c>
      <c r="D50" s="273">
        <f t="shared" si="23"/>
        <v>0</v>
      </c>
      <c r="E50" s="273">
        <f>+E51</f>
        <v>400000000</v>
      </c>
      <c r="F50" s="273">
        <f t="shared" ref="F50:G50" si="24">+F51</f>
        <v>400000000</v>
      </c>
      <c r="G50" s="273">
        <f t="shared" si="24"/>
        <v>0</v>
      </c>
      <c r="H50" s="215"/>
    </row>
    <row r="51" spans="1:9" s="86" customFormat="1" ht="33">
      <c r="A51" s="50"/>
      <c r="B51" s="275" t="s">
        <v>418</v>
      </c>
      <c r="C51" s="51">
        <f t="shared" si="11"/>
        <v>400000000</v>
      </c>
      <c r="D51" s="51"/>
      <c r="E51" s="272">
        <f>SUM(F51:G51)</f>
        <v>400000000</v>
      </c>
      <c r="F51" s="272">
        <v>400000000</v>
      </c>
      <c r="G51" s="272"/>
      <c r="H51" s="215"/>
    </row>
    <row r="52" spans="1:9" s="86" customFormat="1">
      <c r="A52" s="49">
        <v>9</v>
      </c>
      <c r="B52" s="268" t="s">
        <v>419</v>
      </c>
      <c r="C52" s="273">
        <f t="shared" ref="C52:D52" si="25">SUM(C53:C54)</f>
        <v>700000000</v>
      </c>
      <c r="D52" s="273">
        <f t="shared" si="25"/>
        <v>0</v>
      </c>
      <c r="E52" s="273">
        <f>SUM(E53:E54)</f>
        <v>700000000</v>
      </c>
      <c r="F52" s="273">
        <f t="shared" ref="F52:G52" si="26">SUM(F53:F54)</f>
        <v>700000000</v>
      </c>
      <c r="G52" s="273">
        <f t="shared" si="26"/>
        <v>0</v>
      </c>
      <c r="H52" s="215"/>
    </row>
    <row r="53" spans="1:9" s="86" customFormat="1" ht="33">
      <c r="A53" s="50"/>
      <c r="B53" s="275" t="s">
        <v>420</v>
      </c>
      <c r="C53" s="51">
        <f t="shared" si="11"/>
        <v>200000000</v>
      </c>
      <c r="D53" s="51"/>
      <c r="E53" s="272">
        <f>SUM(F53:G53)</f>
        <v>200000000</v>
      </c>
      <c r="F53" s="272">
        <v>200000000</v>
      </c>
      <c r="G53" s="272"/>
      <c r="H53" s="215"/>
    </row>
    <row r="54" spans="1:9" s="86" customFormat="1" ht="33">
      <c r="A54" s="50"/>
      <c r="B54" s="275" t="s">
        <v>418</v>
      </c>
      <c r="C54" s="51">
        <f t="shared" si="11"/>
        <v>500000000</v>
      </c>
      <c r="D54" s="51"/>
      <c r="E54" s="272">
        <f>SUM(F54:G54)</f>
        <v>500000000</v>
      </c>
      <c r="F54" s="272">
        <v>500000000</v>
      </c>
      <c r="G54" s="272"/>
      <c r="H54" s="215"/>
    </row>
    <row r="55" spans="1:9" s="86" customFormat="1">
      <c r="A55" s="49">
        <v>10</v>
      </c>
      <c r="B55" s="268" t="s">
        <v>421</v>
      </c>
      <c r="C55" s="273">
        <f t="shared" ref="C55:D55" si="27">+C56</f>
        <v>500000000</v>
      </c>
      <c r="D55" s="273">
        <f t="shared" si="27"/>
        <v>0</v>
      </c>
      <c r="E55" s="273">
        <f>+E56</f>
        <v>500000000</v>
      </c>
      <c r="F55" s="273">
        <f t="shared" ref="F55:G55" si="28">+F56</f>
        <v>500000000</v>
      </c>
      <c r="G55" s="273">
        <f t="shared" si="28"/>
        <v>0</v>
      </c>
      <c r="H55" s="215"/>
    </row>
    <row r="56" spans="1:9" s="86" customFormat="1" ht="33">
      <c r="A56" s="50"/>
      <c r="B56" s="275" t="s">
        <v>409</v>
      </c>
      <c r="C56" s="51">
        <f t="shared" si="11"/>
        <v>500000000</v>
      </c>
      <c r="D56" s="51"/>
      <c r="E56" s="272">
        <f>SUM(F56:G56)</f>
        <v>500000000</v>
      </c>
      <c r="F56" s="272">
        <v>500000000</v>
      </c>
      <c r="G56" s="272"/>
      <c r="H56" s="215"/>
    </row>
    <row r="57" spans="1:9" s="86" customFormat="1">
      <c r="A57" s="49">
        <v>11</v>
      </c>
      <c r="B57" s="268" t="s">
        <v>422</v>
      </c>
      <c r="C57" s="273">
        <f t="shared" ref="C57:D57" si="29">+C58</f>
        <v>350000000</v>
      </c>
      <c r="D57" s="273">
        <f t="shared" si="29"/>
        <v>0</v>
      </c>
      <c r="E57" s="273">
        <f>+E58</f>
        <v>350000000</v>
      </c>
      <c r="F57" s="273">
        <f t="shared" ref="F57:G57" si="30">+F58</f>
        <v>350000000</v>
      </c>
      <c r="G57" s="273">
        <f t="shared" si="30"/>
        <v>0</v>
      </c>
      <c r="H57" s="215"/>
    </row>
    <row r="58" spans="1:9" s="86" customFormat="1" ht="33">
      <c r="A58" s="50"/>
      <c r="B58" s="275" t="s">
        <v>423</v>
      </c>
      <c r="C58" s="51">
        <f t="shared" si="11"/>
        <v>350000000</v>
      </c>
      <c r="D58" s="51"/>
      <c r="E58" s="272">
        <f>SUM(F58:G58)</f>
        <v>350000000</v>
      </c>
      <c r="F58" s="272">
        <v>350000000</v>
      </c>
      <c r="G58" s="272"/>
      <c r="H58" s="215"/>
    </row>
    <row r="59" spans="1:9" s="2" customFormat="1" ht="21.75" customHeight="1">
      <c r="A59" s="14" t="s">
        <v>55</v>
      </c>
      <c r="B59" s="16" t="s">
        <v>346</v>
      </c>
      <c r="C59" s="21">
        <f>C60+C64+C66+C69+C71+C75+C79+C82</f>
        <v>11538000000</v>
      </c>
      <c r="D59" s="21">
        <f t="shared" ref="D59:G59" si="31">D60+D64+D66+D69+D71+D75+D79+D82</f>
        <v>0</v>
      </c>
      <c r="E59" s="21">
        <f t="shared" si="31"/>
        <v>11538000000</v>
      </c>
      <c r="F59" s="21">
        <f t="shared" si="31"/>
        <v>11459600000</v>
      </c>
      <c r="G59" s="21">
        <f t="shared" si="31"/>
        <v>78400000</v>
      </c>
      <c r="H59" s="16"/>
      <c r="I59" s="35"/>
    </row>
    <row r="60" spans="1:9">
      <c r="A60" s="260">
        <v>1</v>
      </c>
      <c r="B60" s="261" t="s">
        <v>753</v>
      </c>
      <c r="C60" s="262">
        <f>SUM(C61:C63)</f>
        <v>3500000000</v>
      </c>
      <c r="D60" s="262">
        <f t="shared" ref="D60:G60" si="32">SUM(D61:D63)</f>
        <v>0</v>
      </c>
      <c r="E60" s="262">
        <f t="shared" si="32"/>
        <v>3500000000</v>
      </c>
      <c r="F60" s="262">
        <f t="shared" si="32"/>
        <v>3492000000</v>
      </c>
      <c r="G60" s="262">
        <f t="shared" si="32"/>
        <v>8000000</v>
      </c>
      <c r="H60" s="7"/>
      <c r="I60" s="31"/>
    </row>
    <row r="61" spans="1:9" s="86" customFormat="1" ht="31.5">
      <c r="A61" s="81"/>
      <c r="B61" s="389" t="s">
        <v>754</v>
      </c>
      <c r="C61" s="390">
        <f>E61</f>
        <v>1600000000</v>
      </c>
      <c r="D61" s="390"/>
      <c r="E61" s="390">
        <f>SUM(F61:G61)</f>
        <v>1600000000</v>
      </c>
      <c r="F61" s="390">
        <v>1600000000</v>
      </c>
      <c r="G61" s="390"/>
      <c r="H61" s="215"/>
    </row>
    <row r="62" spans="1:9" s="86" customFormat="1" ht="31.5">
      <c r="A62" s="81"/>
      <c r="B62" s="389" t="s">
        <v>755</v>
      </c>
      <c r="C62" s="390">
        <f>E62</f>
        <v>1600000000</v>
      </c>
      <c r="D62" s="390"/>
      <c r="E62" s="390">
        <f t="shared" ref="E62:E83" si="33">SUM(F62:G62)</f>
        <v>1600000000</v>
      </c>
      <c r="F62" s="390">
        <v>1600000000</v>
      </c>
      <c r="G62" s="390"/>
      <c r="H62" s="215"/>
    </row>
    <row r="63" spans="1:9" s="86" customFormat="1" ht="31.5">
      <c r="A63" s="81"/>
      <c r="B63" s="389" t="s">
        <v>756</v>
      </c>
      <c r="C63" s="390">
        <f>E63</f>
        <v>300000000</v>
      </c>
      <c r="D63" s="390"/>
      <c r="E63" s="390">
        <f t="shared" si="33"/>
        <v>300000000</v>
      </c>
      <c r="F63" s="390">
        <v>292000000</v>
      </c>
      <c r="G63" s="390">
        <v>8000000</v>
      </c>
      <c r="H63" s="215"/>
    </row>
    <row r="64" spans="1:9" s="2" customFormat="1">
      <c r="A64" s="391">
        <v>2</v>
      </c>
      <c r="B64" s="392" t="s">
        <v>757</v>
      </c>
      <c r="C64" s="383">
        <f>C65</f>
        <v>1600000000</v>
      </c>
      <c r="D64" s="383">
        <f t="shared" ref="D64:G64" si="34">D65</f>
        <v>0</v>
      </c>
      <c r="E64" s="383">
        <f t="shared" si="34"/>
        <v>1600000000</v>
      </c>
      <c r="F64" s="383">
        <f t="shared" si="34"/>
        <v>1600000000</v>
      </c>
      <c r="G64" s="383">
        <f t="shared" si="34"/>
        <v>0</v>
      </c>
      <c r="H64" s="10"/>
    </row>
    <row r="65" spans="1:10" s="86" customFormat="1" ht="31.5">
      <c r="A65" s="81"/>
      <c r="B65" s="389" t="s">
        <v>758</v>
      </c>
      <c r="C65" s="390">
        <f>E65</f>
        <v>1600000000</v>
      </c>
      <c r="D65" s="390"/>
      <c r="E65" s="390">
        <f t="shared" si="33"/>
        <v>1600000000</v>
      </c>
      <c r="F65" s="390">
        <v>1600000000</v>
      </c>
      <c r="G65" s="390"/>
      <c r="H65" s="215"/>
    </row>
    <row r="66" spans="1:10" s="2" customFormat="1">
      <c r="A66" s="391">
        <v>3</v>
      </c>
      <c r="B66" s="392" t="s">
        <v>759</v>
      </c>
      <c r="C66" s="383">
        <f>SUM(C67:C68)</f>
        <v>2500000000</v>
      </c>
      <c r="D66" s="383">
        <f t="shared" ref="D66:G66" si="35">SUM(D67:D68)</f>
        <v>0</v>
      </c>
      <c r="E66" s="383">
        <f t="shared" si="35"/>
        <v>2500000000</v>
      </c>
      <c r="F66" s="383">
        <f t="shared" si="35"/>
        <v>2480000000</v>
      </c>
      <c r="G66" s="383">
        <f t="shared" si="35"/>
        <v>20000000</v>
      </c>
      <c r="H66" s="10"/>
    </row>
    <row r="67" spans="1:10" s="86" customFormat="1" ht="31.5">
      <c r="A67" s="81"/>
      <c r="B67" s="389" t="s">
        <v>760</v>
      </c>
      <c r="C67" s="390">
        <f>E67</f>
        <v>1600000000</v>
      </c>
      <c r="D67" s="390"/>
      <c r="E67" s="390">
        <f t="shared" si="33"/>
        <v>1600000000</v>
      </c>
      <c r="F67" s="390">
        <v>1600000000</v>
      </c>
      <c r="G67" s="390"/>
      <c r="H67" s="215"/>
    </row>
    <row r="68" spans="1:10" s="86" customFormat="1" ht="31.5">
      <c r="A68" s="81"/>
      <c r="B68" s="389" t="s">
        <v>761</v>
      </c>
      <c r="C68" s="390">
        <f>E68</f>
        <v>900000000</v>
      </c>
      <c r="D68" s="390"/>
      <c r="E68" s="390">
        <f t="shared" si="33"/>
        <v>900000000</v>
      </c>
      <c r="F68" s="390">
        <v>880000000</v>
      </c>
      <c r="G68" s="390">
        <v>20000000</v>
      </c>
      <c r="H68" s="215"/>
    </row>
    <row r="69" spans="1:10" s="2" customFormat="1">
      <c r="A69" s="391">
        <v>4</v>
      </c>
      <c r="B69" s="10" t="s">
        <v>762</v>
      </c>
      <c r="C69" s="20">
        <f>C70</f>
        <v>1100000000</v>
      </c>
      <c r="D69" s="20">
        <f t="shared" ref="D69:G69" si="36">D70</f>
        <v>0</v>
      </c>
      <c r="E69" s="20">
        <f t="shared" si="36"/>
        <v>1100000000</v>
      </c>
      <c r="F69" s="20">
        <f t="shared" si="36"/>
        <v>1100000000</v>
      </c>
      <c r="G69" s="20">
        <f t="shared" si="36"/>
        <v>0</v>
      </c>
      <c r="H69" s="10"/>
    </row>
    <row r="70" spans="1:10" s="86" customFormat="1" ht="31.5">
      <c r="A70" s="81"/>
      <c r="B70" s="389" t="s">
        <v>758</v>
      </c>
      <c r="C70" s="390">
        <f>E70</f>
        <v>1100000000</v>
      </c>
      <c r="D70" s="390"/>
      <c r="E70" s="390">
        <f t="shared" si="33"/>
        <v>1100000000</v>
      </c>
      <c r="F70" s="390">
        <v>1100000000</v>
      </c>
      <c r="G70" s="390"/>
      <c r="H70" s="215"/>
    </row>
    <row r="71" spans="1:10" s="2" customFormat="1">
      <c r="A71" s="391">
        <v>5</v>
      </c>
      <c r="B71" s="392" t="s">
        <v>763</v>
      </c>
      <c r="C71" s="383">
        <f>SUM(C72:C74)</f>
        <v>738000000</v>
      </c>
      <c r="D71" s="383">
        <f t="shared" ref="D71:G71" si="37">SUM(D72:D74)</f>
        <v>0</v>
      </c>
      <c r="E71" s="383">
        <f t="shared" si="37"/>
        <v>738000000</v>
      </c>
      <c r="F71" s="383">
        <f t="shared" si="37"/>
        <v>738000000</v>
      </c>
      <c r="G71" s="383">
        <f t="shared" si="37"/>
        <v>0</v>
      </c>
      <c r="H71" s="10"/>
    </row>
    <row r="72" spans="1:10" s="86" customFormat="1" ht="63">
      <c r="A72" s="81"/>
      <c r="B72" s="389" t="s">
        <v>764</v>
      </c>
      <c r="C72" s="390">
        <f>E72</f>
        <v>238000000</v>
      </c>
      <c r="D72" s="390"/>
      <c r="E72" s="390">
        <f t="shared" si="33"/>
        <v>238000000</v>
      </c>
      <c r="F72" s="390">
        <v>238000000</v>
      </c>
      <c r="G72" s="390"/>
      <c r="H72" s="215"/>
    </row>
    <row r="73" spans="1:10" s="86" customFormat="1" ht="31.5">
      <c r="A73" s="81"/>
      <c r="B73" s="389" t="s">
        <v>765</v>
      </c>
      <c r="C73" s="390">
        <f>E73</f>
        <v>200000000</v>
      </c>
      <c r="D73" s="390"/>
      <c r="E73" s="390">
        <f t="shared" si="33"/>
        <v>200000000</v>
      </c>
      <c r="F73" s="390">
        <v>200000000</v>
      </c>
      <c r="G73" s="390"/>
      <c r="H73" s="215"/>
    </row>
    <row r="74" spans="1:10" s="86" customFormat="1" ht="31.5">
      <c r="A74" s="81"/>
      <c r="B74" s="389" t="s">
        <v>766</v>
      </c>
      <c r="C74" s="390">
        <f>E74</f>
        <v>300000000</v>
      </c>
      <c r="D74" s="390"/>
      <c r="E74" s="390">
        <f t="shared" si="33"/>
        <v>300000000</v>
      </c>
      <c r="F74" s="390">
        <v>300000000</v>
      </c>
      <c r="G74" s="390"/>
      <c r="H74" s="215"/>
    </row>
    <row r="75" spans="1:10" s="2" customFormat="1">
      <c r="A75" s="391">
        <v>6</v>
      </c>
      <c r="B75" s="392" t="s">
        <v>767</v>
      </c>
      <c r="C75" s="383">
        <f>SUM(C76:C78)</f>
        <v>1200000000</v>
      </c>
      <c r="D75" s="383">
        <f t="shared" ref="D75:G75" si="38">SUM(D76:D78)</f>
        <v>0</v>
      </c>
      <c r="E75" s="383">
        <f t="shared" si="38"/>
        <v>1200000000</v>
      </c>
      <c r="F75" s="383">
        <f t="shared" si="38"/>
        <v>1170600000</v>
      </c>
      <c r="G75" s="383">
        <f t="shared" si="38"/>
        <v>29400000</v>
      </c>
      <c r="H75" s="10"/>
    </row>
    <row r="76" spans="1:10" s="86" customFormat="1" ht="31.5">
      <c r="A76" s="81"/>
      <c r="B76" s="389" t="s">
        <v>768</v>
      </c>
      <c r="C76" s="390">
        <f>E76</f>
        <v>300000000</v>
      </c>
      <c r="D76" s="390"/>
      <c r="E76" s="390">
        <f t="shared" si="33"/>
        <v>300000000</v>
      </c>
      <c r="F76" s="390">
        <v>292000000</v>
      </c>
      <c r="G76" s="390">
        <v>8000000</v>
      </c>
      <c r="H76" s="215"/>
    </row>
    <row r="77" spans="1:10" s="86" customFormat="1" ht="31.5">
      <c r="A77" s="81"/>
      <c r="B77" s="389" t="s">
        <v>423</v>
      </c>
      <c r="C77" s="390">
        <f t="shared" ref="C77:C78" si="39">E77</f>
        <v>300000000</v>
      </c>
      <c r="D77" s="390"/>
      <c r="E77" s="390">
        <f t="shared" si="33"/>
        <v>300000000</v>
      </c>
      <c r="F77" s="390">
        <v>293500000</v>
      </c>
      <c r="G77" s="218">
        <v>6500000</v>
      </c>
      <c r="H77" s="215"/>
    </row>
    <row r="78" spans="1:10" s="86" customFormat="1" ht="31.5">
      <c r="A78" s="81"/>
      <c r="B78" s="389" t="s">
        <v>769</v>
      </c>
      <c r="C78" s="390">
        <f t="shared" si="39"/>
        <v>600000000</v>
      </c>
      <c r="D78" s="390"/>
      <c r="E78" s="390">
        <f t="shared" si="33"/>
        <v>600000000</v>
      </c>
      <c r="F78" s="390">
        <v>585100000</v>
      </c>
      <c r="G78" s="218">
        <v>14900000</v>
      </c>
      <c r="H78" s="215"/>
      <c r="J78" s="88"/>
    </row>
    <row r="79" spans="1:10">
      <c r="A79" s="260">
        <v>7</v>
      </c>
      <c r="B79" s="261" t="s">
        <v>770</v>
      </c>
      <c r="C79" s="262">
        <f>SUM(C80:C81)</f>
        <v>600000000</v>
      </c>
      <c r="D79" s="262">
        <f t="shared" ref="D79:G79" si="40">SUM(D80:D81)</f>
        <v>0</v>
      </c>
      <c r="E79" s="262">
        <f t="shared" si="40"/>
        <v>600000000</v>
      </c>
      <c r="F79" s="262">
        <f t="shared" si="40"/>
        <v>587000000</v>
      </c>
      <c r="G79" s="262">
        <f t="shared" si="40"/>
        <v>13000000</v>
      </c>
      <c r="H79" s="7"/>
      <c r="J79" s="31"/>
    </row>
    <row r="80" spans="1:10" s="86" customFormat="1" ht="31.5">
      <c r="A80" s="81"/>
      <c r="B80" s="389" t="s">
        <v>771</v>
      </c>
      <c r="C80" s="390">
        <f>E80</f>
        <v>300000000</v>
      </c>
      <c r="D80" s="390"/>
      <c r="E80" s="390">
        <f t="shared" si="33"/>
        <v>300000000</v>
      </c>
      <c r="F80" s="390">
        <v>293500000</v>
      </c>
      <c r="G80" s="390">
        <v>6500000</v>
      </c>
      <c r="H80" s="215"/>
    </row>
    <row r="81" spans="1:9" s="86" customFormat="1" ht="31.5">
      <c r="A81" s="81"/>
      <c r="B81" s="389" t="s">
        <v>772</v>
      </c>
      <c r="C81" s="390">
        <f>E81</f>
        <v>300000000</v>
      </c>
      <c r="D81" s="390"/>
      <c r="E81" s="390">
        <f t="shared" si="33"/>
        <v>300000000</v>
      </c>
      <c r="F81" s="390">
        <v>293500000</v>
      </c>
      <c r="G81" s="390">
        <v>6500000</v>
      </c>
      <c r="H81" s="215"/>
    </row>
    <row r="82" spans="1:9">
      <c r="A82" s="260">
        <v>8</v>
      </c>
      <c r="B82" s="261" t="s">
        <v>773</v>
      </c>
      <c r="C82" s="262">
        <f>C83</f>
        <v>300000000</v>
      </c>
      <c r="D82" s="262">
        <f t="shared" ref="D82:G82" si="41">D83</f>
        <v>0</v>
      </c>
      <c r="E82" s="262">
        <f t="shared" si="41"/>
        <v>300000000</v>
      </c>
      <c r="F82" s="262">
        <f t="shared" si="41"/>
        <v>292000000</v>
      </c>
      <c r="G82" s="262">
        <f t="shared" si="41"/>
        <v>8000000</v>
      </c>
      <c r="H82" s="7"/>
    </row>
    <row r="83" spans="1:9" s="86" customFormat="1" ht="31.5">
      <c r="A83" s="81"/>
      <c r="B83" s="389" t="s">
        <v>774</v>
      </c>
      <c r="C83" s="390">
        <f>E83</f>
        <v>300000000</v>
      </c>
      <c r="D83" s="390"/>
      <c r="E83" s="390">
        <f t="shared" si="33"/>
        <v>300000000</v>
      </c>
      <c r="F83" s="390">
        <v>292000000</v>
      </c>
      <c r="G83" s="390">
        <v>8000000</v>
      </c>
      <c r="H83" s="215"/>
    </row>
    <row r="84" spans="1:9" s="2" customFormat="1" ht="21.75" customHeight="1">
      <c r="A84" s="14" t="s">
        <v>56</v>
      </c>
      <c r="B84" s="16" t="s">
        <v>340</v>
      </c>
      <c r="C84" s="21">
        <f>C85</f>
        <v>300000000</v>
      </c>
      <c r="D84" s="21">
        <f t="shared" ref="D84:G85" si="42">D85</f>
        <v>0</v>
      </c>
      <c r="E84" s="21">
        <f t="shared" si="42"/>
        <v>197526400</v>
      </c>
      <c r="F84" s="21">
        <f t="shared" si="42"/>
        <v>197526400</v>
      </c>
      <c r="G84" s="21">
        <f t="shared" si="42"/>
        <v>0</v>
      </c>
      <c r="H84" s="16"/>
      <c r="I84" s="35"/>
    </row>
    <row r="85" spans="1:9">
      <c r="A85" s="386">
        <v>1</v>
      </c>
      <c r="B85" s="248" t="s">
        <v>823</v>
      </c>
      <c r="C85" s="385">
        <f>C86</f>
        <v>300000000</v>
      </c>
      <c r="D85" s="385">
        <f t="shared" si="42"/>
        <v>0</v>
      </c>
      <c r="E85" s="385">
        <f t="shared" si="42"/>
        <v>197526400</v>
      </c>
      <c r="F85" s="385">
        <f t="shared" si="42"/>
        <v>197526400</v>
      </c>
      <c r="G85" s="385">
        <f t="shared" si="42"/>
        <v>0</v>
      </c>
      <c r="H85" s="7"/>
    </row>
    <row r="86" spans="1:9" ht="31.5">
      <c r="A86" s="387"/>
      <c r="B86" s="256" t="s">
        <v>824</v>
      </c>
      <c r="C86" s="388">
        <v>300000000</v>
      </c>
      <c r="D86" s="377"/>
      <c r="E86" s="377">
        <f>F86+G86</f>
        <v>197526400</v>
      </c>
      <c r="F86" s="377">
        <v>197526400</v>
      </c>
      <c r="G86" s="257"/>
      <c r="H86" s="363"/>
    </row>
  </sheetData>
  <mergeCells count="11">
    <mergeCell ref="A10:B10"/>
    <mergeCell ref="A2:H2"/>
    <mergeCell ref="A3:H3"/>
    <mergeCell ref="A6:A8"/>
    <mergeCell ref="B6:B8"/>
    <mergeCell ref="C6:C8"/>
    <mergeCell ref="D6:D8"/>
    <mergeCell ref="E6:G6"/>
    <mergeCell ref="H6:H8"/>
    <mergeCell ref="E7:E8"/>
    <mergeCell ref="F7:G7"/>
  </mergeCells>
  <pageMargins left="0.55118110236220474" right="0.35433070866141736" top="0.51181102362204722" bottom="0.55118110236220474" header="0.31496062992125984" footer="0.31496062992125984"/>
  <pageSetup paperSize="9" scale="82" fitToHeight="0" orientation="landscape" verticalDpi="0"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K282"/>
  <sheetViews>
    <sheetView workbookViewId="0">
      <selection activeCell="G9" sqref="G9"/>
    </sheetView>
  </sheetViews>
  <sheetFormatPr defaultColWidth="9" defaultRowHeight="15.75"/>
  <cols>
    <col min="1" max="1" width="6.75" style="1" customWidth="1"/>
    <col min="2" max="2" width="39" style="1" customWidth="1"/>
    <col min="3" max="4" width="15.875" style="1" customWidth="1"/>
    <col min="5" max="7" width="18.5" style="1" customWidth="1"/>
    <col min="8" max="8" width="26.25" style="1" customWidth="1"/>
    <col min="9" max="9" width="13" style="1" bestFit="1" customWidth="1"/>
    <col min="10" max="16384" width="9" style="1"/>
  </cols>
  <sheetData>
    <row r="1" spans="1:8" ht="23.25" customHeight="1">
      <c r="H1" s="241" t="s">
        <v>746</v>
      </c>
    </row>
    <row r="2" spans="1:8" ht="42" customHeight="1">
      <c r="A2" s="720" t="s">
        <v>424</v>
      </c>
      <c r="B2" s="721"/>
      <c r="C2" s="721"/>
      <c r="D2" s="721"/>
      <c r="E2" s="721"/>
      <c r="F2" s="721"/>
      <c r="G2" s="721"/>
      <c r="H2" s="721"/>
    </row>
    <row r="3" spans="1:8" ht="19.5" customHeight="1">
      <c r="A3" s="722" t="str">
        <f>'B5 TM tăng TDA2 DA3 DTTS'!A3:H3</f>
        <v>(Kèm theo Tờ trình số:                  /TTr-UBND ngày               /5/2024 của UBND tỉnh Bắc Kạn)</v>
      </c>
      <c r="B3" s="722"/>
      <c r="C3" s="722"/>
      <c r="D3" s="722"/>
      <c r="E3" s="722"/>
      <c r="F3" s="722"/>
      <c r="G3" s="722"/>
      <c r="H3" s="722"/>
    </row>
    <row r="5" spans="1:8">
      <c r="H5" s="242" t="s">
        <v>23</v>
      </c>
    </row>
    <row r="6" spans="1:8" ht="36.75" customHeight="1">
      <c r="A6" s="723" t="s">
        <v>1</v>
      </c>
      <c r="B6" s="724" t="s">
        <v>425</v>
      </c>
      <c r="C6" s="724" t="s">
        <v>426</v>
      </c>
      <c r="D6" s="724" t="s">
        <v>378</v>
      </c>
      <c r="E6" s="724" t="s">
        <v>379</v>
      </c>
      <c r="F6" s="724"/>
      <c r="G6" s="724"/>
      <c r="H6" s="724" t="s">
        <v>380</v>
      </c>
    </row>
    <row r="7" spans="1:8" ht="21.75" customHeight="1">
      <c r="A7" s="723"/>
      <c r="B7" s="724"/>
      <c r="C7" s="724"/>
      <c r="D7" s="724"/>
      <c r="E7" s="724" t="s">
        <v>10</v>
      </c>
      <c r="F7" s="724" t="s">
        <v>11</v>
      </c>
      <c r="G7" s="724"/>
      <c r="H7" s="724"/>
    </row>
    <row r="8" spans="1:8" ht="30.75" customHeight="1">
      <c r="A8" s="723"/>
      <c r="B8" s="724"/>
      <c r="C8" s="724"/>
      <c r="D8" s="724"/>
      <c r="E8" s="724"/>
      <c r="F8" s="233" t="str">
        <f>'B4 TM tăng DTTS'!D8</f>
        <v>Ngân sách trung ương</v>
      </c>
      <c r="G8" s="233" t="str">
        <f>'B5 TM tăng TDA2 DA3 DTTS'!G8</f>
        <v>Ngân sách địa phương</v>
      </c>
      <c r="H8" s="724"/>
    </row>
    <row r="9" spans="1:8" ht="16.5" customHeight="1">
      <c r="A9" s="278">
        <v>1</v>
      </c>
      <c r="B9" s="279">
        <v>2</v>
      </c>
      <c r="C9" s="278">
        <v>3</v>
      </c>
      <c r="D9" s="279">
        <v>4</v>
      </c>
      <c r="E9" s="278" t="s">
        <v>427</v>
      </c>
      <c r="F9" s="279">
        <v>6</v>
      </c>
      <c r="G9" s="278">
        <v>7</v>
      </c>
      <c r="H9" s="279">
        <v>8</v>
      </c>
    </row>
    <row r="10" spans="1:8" s="234" customFormat="1" ht="24.75" customHeight="1">
      <c r="A10" s="719" t="s">
        <v>25</v>
      </c>
      <c r="B10" s="719"/>
      <c r="C10" s="243">
        <f>C11+C52+C85+C116+C160+C191+C231</f>
        <v>67955040739</v>
      </c>
      <c r="D10" s="243">
        <f>D11+D52+D85+D116+D160+D191+D231</f>
        <v>73819645.999999687</v>
      </c>
      <c r="E10" s="243">
        <f>E11+E52+E85+E116+E160+E191+E231</f>
        <v>67807617307</v>
      </c>
      <c r="F10" s="243">
        <f>F11+F52+F85+F116+F160+F191+F231</f>
        <v>67385142297</v>
      </c>
      <c r="G10" s="243">
        <f>G11+G52+G85+G116+G160+G191+G231</f>
        <v>422475010</v>
      </c>
      <c r="H10" s="244"/>
    </row>
    <row r="11" spans="1:8">
      <c r="A11" s="245" t="s">
        <v>8</v>
      </c>
      <c r="B11" s="246" t="s">
        <v>57</v>
      </c>
      <c r="C11" s="247">
        <f>C12+C15+C20+C30+C38+C40+C42+C44+C46</f>
        <v>10787986922</v>
      </c>
      <c r="D11" s="247">
        <f t="shared" ref="D11:G11" si="0">D12+D15+D20+D30+D38+D40+D42+D44+D46</f>
        <v>73819645.999999687</v>
      </c>
      <c r="E11" s="247">
        <f t="shared" si="0"/>
        <v>10714167276</v>
      </c>
      <c r="F11" s="247">
        <f t="shared" si="0"/>
        <v>10539864966</v>
      </c>
      <c r="G11" s="247">
        <f t="shared" si="0"/>
        <v>174302310</v>
      </c>
      <c r="H11" s="246"/>
    </row>
    <row r="12" spans="1:8">
      <c r="A12" s="280">
        <v>1</v>
      </c>
      <c r="B12" s="281" t="s">
        <v>428</v>
      </c>
      <c r="C12" s="282">
        <f>SUM(C13:C14)</f>
        <v>527986922</v>
      </c>
      <c r="D12" s="282">
        <f t="shared" ref="D12:G12" si="1">SUM(D13:D14)</f>
        <v>24824318.000000063</v>
      </c>
      <c r="E12" s="282">
        <f t="shared" si="1"/>
        <v>503162603.99999994</v>
      </c>
      <c r="F12" s="282">
        <f t="shared" si="1"/>
        <v>503162603.99999994</v>
      </c>
      <c r="G12" s="282">
        <f t="shared" si="1"/>
        <v>0</v>
      </c>
      <c r="H12" s="7"/>
    </row>
    <row r="13" spans="1:8">
      <c r="A13" s="5"/>
      <c r="B13" s="37" t="s">
        <v>1065</v>
      </c>
      <c r="C13" s="283">
        <v>200000000</v>
      </c>
      <c r="D13" s="283"/>
      <c r="E13" s="283">
        <f>F13+G13</f>
        <v>200000000</v>
      </c>
      <c r="F13" s="283">
        <v>200000000</v>
      </c>
      <c r="G13" s="283"/>
      <c r="H13" s="7"/>
    </row>
    <row r="14" spans="1:8">
      <c r="A14" s="5"/>
      <c r="B14" s="37" t="s">
        <v>1066</v>
      </c>
      <c r="C14" s="283">
        <v>327986922</v>
      </c>
      <c r="D14" s="283">
        <v>24824318.000000063</v>
      </c>
      <c r="E14" s="283">
        <f t="shared" ref="E14:E51" si="2">F14+G14</f>
        <v>303162603.99999994</v>
      </c>
      <c r="F14" s="283">
        <v>303162603.99999994</v>
      </c>
      <c r="G14" s="283"/>
      <c r="H14" s="7"/>
    </row>
    <row r="15" spans="1:8">
      <c r="A15" s="280">
        <v>2</v>
      </c>
      <c r="B15" s="281" t="s">
        <v>429</v>
      </c>
      <c r="C15" s="282">
        <f>SUM(C16:C19)</f>
        <v>2700000000</v>
      </c>
      <c r="D15" s="282">
        <f t="shared" ref="D15:G15" si="3">SUM(D16:D19)</f>
        <v>13910664.999999881</v>
      </c>
      <c r="E15" s="282">
        <f t="shared" si="3"/>
        <v>2686089335</v>
      </c>
      <c r="F15" s="282">
        <f t="shared" si="3"/>
        <v>2686089335</v>
      </c>
      <c r="G15" s="282">
        <f t="shared" si="3"/>
        <v>0</v>
      </c>
      <c r="H15" s="7"/>
    </row>
    <row r="16" spans="1:8">
      <c r="A16" s="5"/>
      <c r="B16" s="6" t="s">
        <v>430</v>
      </c>
      <c r="C16" s="283">
        <v>400000000</v>
      </c>
      <c r="D16" s="283">
        <v>13910664.999999881</v>
      </c>
      <c r="E16" s="283">
        <f t="shared" si="2"/>
        <v>386089335.00000012</v>
      </c>
      <c r="F16" s="283">
        <v>386089335.00000012</v>
      </c>
      <c r="G16" s="283"/>
      <c r="H16" s="7"/>
    </row>
    <row r="17" spans="1:8">
      <c r="A17" s="5"/>
      <c r="B17" s="6" t="s">
        <v>431</v>
      </c>
      <c r="C17" s="283">
        <v>300000000</v>
      </c>
      <c r="D17" s="283"/>
      <c r="E17" s="283">
        <f t="shared" si="2"/>
        <v>300000000</v>
      </c>
      <c r="F17" s="283">
        <v>300000000</v>
      </c>
      <c r="G17" s="283"/>
      <c r="H17" s="7"/>
    </row>
    <row r="18" spans="1:8">
      <c r="A18" s="5"/>
      <c r="B18" s="6" t="s">
        <v>432</v>
      </c>
      <c r="C18" s="283">
        <v>1000000000</v>
      </c>
      <c r="D18" s="283"/>
      <c r="E18" s="283">
        <f t="shared" si="2"/>
        <v>1000000000</v>
      </c>
      <c r="F18" s="283">
        <v>1000000000</v>
      </c>
      <c r="G18" s="283"/>
      <c r="H18" s="7"/>
    </row>
    <row r="19" spans="1:8" ht="31.5">
      <c r="A19" s="5"/>
      <c r="B19" s="6" t="s">
        <v>433</v>
      </c>
      <c r="C19" s="283">
        <v>1000000000</v>
      </c>
      <c r="D19" s="283"/>
      <c r="E19" s="283">
        <f t="shared" si="2"/>
        <v>1000000000</v>
      </c>
      <c r="F19" s="283">
        <v>1000000000</v>
      </c>
      <c r="G19" s="283"/>
      <c r="H19" s="7"/>
    </row>
    <row r="20" spans="1:8">
      <c r="A20" s="280">
        <v>3</v>
      </c>
      <c r="B20" s="281" t="s">
        <v>434</v>
      </c>
      <c r="C20" s="282">
        <f>SUM(C21:C29)</f>
        <v>1650000000</v>
      </c>
      <c r="D20" s="282">
        <f t="shared" ref="D20:F20" si="4">SUM(D21:D29)</f>
        <v>8424046.9999997485</v>
      </c>
      <c r="E20" s="282">
        <f t="shared" si="4"/>
        <v>1641575953.0000002</v>
      </c>
      <c r="F20" s="282">
        <f t="shared" si="4"/>
        <v>1568773643.0000002</v>
      </c>
      <c r="G20" s="282">
        <f>SUM(G21:G29)</f>
        <v>72802310</v>
      </c>
      <c r="H20" s="7"/>
    </row>
    <row r="21" spans="1:8">
      <c r="A21" s="5"/>
      <c r="B21" s="284" t="s">
        <v>435</v>
      </c>
      <c r="C21" s="283">
        <v>150000000</v>
      </c>
      <c r="D21" s="283">
        <v>8424046.9999997485</v>
      </c>
      <c r="E21" s="283">
        <f t="shared" si="2"/>
        <v>141575953.00000024</v>
      </c>
      <c r="F21" s="283">
        <v>68773643.000000253</v>
      </c>
      <c r="G21" s="283">
        <v>72802310</v>
      </c>
      <c r="H21" s="7"/>
    </row>
    <row r="22" spans="1:8">
      <c r="A22" s="5"/>
      <c r="B22" s="284" t="s">
        <v>436</v>
      </c>
      <c r="C22" s="283">
        <v>200000000</v>
      </c>
      <c r="D22" s="283"/>
      <c r="E22" s="283">
        <f t="shared" si="2"/>
        <v>200000000</v>
      </c>
      <c r="F22" s="283">
        <v>200000000</v>
      </c>
      <c r="G22" s="283"/>
      <c r="H22" s="7"/>
    </row>
    <row r="23" spans="1:8">
      <c r="A23" s="5"/>
      <c r="B23" s="284" t="s">
        <v>437</v>
      </c>
      <c r="C23" s="283">
        <v>150000000</v>
      </c>
      <c r="D23" s="283"/>
      <c r="E23" s="283">
        <f t="shared" si="2"/>
        <v>150000000</v>
      </c>
      <c r="F23" s="283">
        <v>150000000</v>
      </c>
      <c r="G23" s="283"/>
      <c r="H23" s="7"/>
    </row>
    <row r="24" spans="1:8">
      <c r="A24" s="5"/>
      <c r="B24" s="284" t="s">
        <v>438</v>
      </c>
      <c r="C24" s="283">
        <v>200000000</v>
      </c>
      <c r="D24" s="283"/>
      <c r="E24" s="283">
        <f t="shared" si="2"/>
        <v>200000000</v>
      </c>
      <c r="F24" s="283">
        <v>200000000</v>
      </c>
      <c r="G24" s="283"/>
      <c r="H24" s="7"/>
    </row>
    <row r="25" spans="1:8">
      <c r="A25" s="5"/>
      <c r="B25" s="284" t="s">
        <v>439</v>
      </c>
      <c r="C25" s="283">
        <v>100000000</v>
      </c>
      <c r="D25" s="283"/>
      <c r="E25" s="283">
        <f t="shared" si="2"/>
        <v>100000000</v>
      </c>
      <c r="F25" s="283">
        <v>100000000</v>
      </c>
      <c r="G25" s="283"/>
      <c r="H25" s="7"/>
    </row>
    <row r="26" spans="1:8">
      <c r="A26" s="5"/>
      <c r="B26" s="284" t="s">
        <v>440</v>
      </c>
      <c r="C26" s="283">
        <v>300000000</v>
      </c>
      <c r="D26" s="283"/>
      <c r="E26" s="283">
        <f t="shared" si="2"/>
        <v>300000000</v>
      </c>
      <c r="F26" s="283">
        <v>300000000</v>
      </c>
      <c r="G26" s="283"/>
      <c r="H26" s="7"/>
    </row>
    <row r="27" spans="1:8">
      <c r="A27" s="5"/>
      <c r="B27" s="284" t="s">
        <v>441</v>
      </c>
      <c r="C27" s="283">
        <v>100000000</v>
      </c>
      <c r="D27" s="283"/>
      <c r="E27" s="283">
        <f t="shared" si="2"/>
        <v>100000000</v>
      </c>
      <c r="F27" s="283">
        <v>100000000</v>
      </c>
      <c r="G27" s="283"/>
      <c r="H27" s="7"/>
    </row>
    <row r="28" spans="1:8">
      <c r="A28" s="5"/>
      <c r="B28" s="284" t="s">
        <v>442</v>
      </c>
      <c r="C28" s="283">
        <v>150000000</v>
      </c>
      <c r="D28" s="283"/>
      <c r="E28" s="283">
        <f t="shared" si="2"/>
        <v>150000000</v>
      </c>
      <c r="F28" s="283">
        <v>150000000</v>
      </c>
      <c r="G28" s="283"/>
      <c r="H28" s="7"/>
    </row>
    <row r="29" spans="1:8" ht="31.5">
      <c r="A29" s="5"/>
      <c r="B29" s="284" t="s">
        <v>443</v>
      </c>
      <c r="C29" s="283">
        <v>300000000</v>
      </c>
      <c r="D29" s="283"/>
      <c r="E29" s="283">
        <f t="shared" si="2"/>
        <v>300000000</v>
      </c>
      <c r="F29" s="283">
        <v>300000000</v>
      </c>
      <c r="G29" s="283"/>
      <c r="H29" s="7"/>
    </row>
    <row r="30" spans="1:8">
      <c r="A30" s="280">
        <v>4</v>
      </c>
      <c r="B30" s="281" t="s">
        <v>444</v>
      </c>
      <c r="C30" s="282">
        <f>SUM(C31:C37)</f>
        <v>3328000000</v>
      </c>
      <c r="D30" s="282">
        <f t="shared" ref="D30:G30" si="5">SUM(D31:D37)</f>
        <v>18447181.999999899</v>
      </c>
      <c r="E30" s="282">
        <f t="shared" si="5"/>
        <v>3309552818</v>
      </c>
      <c r="F30" s="282">
        <f t="shared" si="5"/>
        <v>3309552818</v>
      </c>
      <c r="G30" s="282">
        <f t="shared" si="5"/>
        <v>0</v>
      </c>
      <c r="H30" s="7"/>
    </row>
    <row r="31" spans="1:8">
      <c r="A31" s="5"/>
      <c r="B31" s="6" t="s">
        <v>445</v>
      </c>
      <c r="C31" s="283">
        <v>48000000</v>
      </c>
      <c r="D31" s="283">
        <v>18447181.999999899</v>
      </c>
      <c r="E31" s="283">
        <f t="shared" si="2"/>
        <v>29552818.000000101</v>
      </c>
      <c r="F31" s="283">
        <v>29552818.000000101</v>
      </c>
      <c r="G31" s="283"/>
      <c r="H31" s="7"/>
    </row>
    <row r="32" spans="1:8">
      <c r="A32" s="5"/>
      <c r="B32" s="6" t="s">
        <v>446</v>
      </c>
      <c r="C32" s="283">
        <v>72000000</v>
      </c>
      <c r="D32" s="283"/>
      <c r="E32" s="283">
        <f t="shared" si="2"/>
        <v>72000000</v>
      </c>
      <c r="F32" s="283">
        <v>72000000</v>
      </c>
      <c r="G32" s="283"/>
      <c r="H32" s="7"/>
    </row>
    <row r="33" spans="1:8">
      <c r="A33" s="5"/>
      <c r="B33" s="6" t="s">
        <v>447</v>
      </c>
      <c r="C33" s="283">
        <v>57600000</v>
      </c>
      <c r="D33" s="283"/>
      <c r="E33" s="283">
        <f t="shared" si="2"/>
        <v>57600000</v>
      </c>
      <c r="F33" s="283">
        <v>57600000</v>
      </c>
      <c r="G33" s="283"/>
      <c r="H33" s="7"/>
    </row>
    <row r="34" spans="1:8">
      <c r="A34" s="5"/>
      <c r="B34" s="6" t="s">
        <v>448</v>
      </c>
      <c r="C34" s="283">
        <v>62400000</v>
      </c>
      <c r="D34" s="283"/>
      <c r="E34" s="283">
        <f t="shared" si="2"/>
        <v>62400000</v>
      </c>
      <c r="F34" s="283">
        <v>62400000</v>
      </c>
      <c r="G34" s="283"/>
      <c r="H34" s="7"/>
    </row>
    <row r="35" spans="1:8">
      <c r="A35" s="5"/>
      <c r="B35" s="6" t="s">
        <v>449</v>
      </c>
      <c r="C35" s="283">
        <v>770000000</v>
      </c>
      <c r="D35" s="283"/>
      <c r="E35" s="283">
        <f t="shared" si="2"/>
        <v>770000000</v>
      </c>
      <c r="F35" s="283">
        <v>770000000</v>
      </c>
      <c r="G35" s="283"/>
      <c r="H35" s="7"/>
    </row>
    <row r="36" spans="1:8" ht="31.5">
      <c r="A36" s="5"/>
      <c r="B36" s="6" t="s">
        <v>450</v>
      </c>
      <c r="C36" s="283">
        <v>118000000</v>
      </c>
      <c r="D36" s="283"/>
      <c r="E36" s="283">
        <f t="shared" si="2"/>
        <v>118000000</v>
      </c>
      <c r="F36" s="283">
        <v>118000000</v>
      </c>
      <c r="G36" s="283"/>
      <c r="H36" s="7"/>
    </row>
    <row r="37" spans="1:8">
      <c r="A37" s="5"/>
      <c r="B37" s="6" t="s">
        <v>451</v>
      </c>
      <c r="C37" s="283">
        <v>2200000000</v>
      </c>
      <c r="D37" s="283"/>
      <c r="E37" s="283">
        <f t="shared" si="2"/>
        <v>2200000000</v>
      </c>
      <c r="F37" s="283">
        <v>2200000000</v>
      </c>
      <c r="G37" s="283"/>
      <c r="H37" s="7"/>
    </row>
    <row r="38" spans="1:8">
      <c r="A38" s="280">
        <v>5</v>
      </c>
      <c r="B38" s="281" t="s">
        <v>452</v>
      </c>
      <c r="C38" s="282">
        <f>C39</f>
        <v>200000000</v>
      </c>
      <c r="D38" s="282">
        <f t="shared" ref="D38:G38" si="6">D39</f>
        <v>1807999.9999999928</v>
      </c>
      <c r="E38" s="282">
        <f t="shared" si="6"/>
        <v>198192000</v>
      </c>
      <c r="F38" s="282">
        <f t="shared" si="6"/>
        <v>198192000</v>
      </c>
      <c r="G38" s="282">
        <f t="shared" si="6"/>
        <v>0</v>
      </c>
      <c r="H38" s="7"/>
    </row>
    <row r="39" spans="1:8">
      <c r="A39" s="5"/>
      <c r="B39" s="6" t="s">
        <v>453</v>
      </c>
      <c r="C39" s="283">
        <v>200000000</v>
      </c>
      <c r="D39" s="283">
        <v>1807999.9999999928</v>
      </c>
      <c r="E39" s="283">
        <f t="shared" si="2"/>
        <v>198192000</v>
      </c>
      <c r="F39" s="283">
        <v>198192000</v>
      </c>
      <c r="G39" s="283"/>
      <c r="H39" s="7"/>
    </row>
    <row r="40" spans="1:8">
      <c r="A40" s="280">
        <v>6</v>
      </c>
      <c r="B40" s="281" t="s">
        <v>454</v>
      </c>
      <c r="C40" s="282">
        <f>C41</f>
        <v>352000000</v>
      </c>
      <c r="D40" s="282">
        <f t="shared" ref="D40:G40" si="7">D41</f>
        <v>2701203.000000021</v>
      </c>
      <c r="E40" s="282">
        <f t="shared" si="7"/>
        <v>349298797</v>
      </c>
      <c r="F40" s="282">
        <f t="shared" si="7"/>
        <v>349298797</v>
      </c>
      <c r="G40" s="282">
        <f t="shared" si="7"/>
        <v>0</v>
      </c>
      <c r="H40" s="7"/>
    </row>
    <row r="41" spans="1:8">
      <c r="A41" s="5"/>
      <c r="B41" s="6" t="s">
        <v>455</v>
      </c>
      <c r="C41" s="283">
        <v>352000000</v>
      </c>
      <c r="D41" s="283">
        <v>2701203.000000021</v>
      </c>
      <c r="E41" s="283">
        <f t="shared" si="2"/>
        <v>349298797</v>
      </c>
      <c r="F41" s="283">
        <v>349298797</v>
      </c>
      <c r="G41" s="283"/>
      <c r="H41" s="7"/>
    </row>
    <row r="42" spans="1:8">
      <c r="A42" s="280">
        <v>7</v>
      </c>
      <c r="B42" s="281" t="s">
        <v>456</v>
      </c>
      <c r="C42" s="282">
        <f>C43</f>
        <v>500000000</v>
      </c>
      <c r="D42" s="282">
        <f t="shared" ref="D42:G42" si="8">D43</f>
        <v>3404312.0000000047</v>
      </c>
      <c r="E42" s="282">
        <f t="shared" si="8"/>
        <v>496595688</v>
      </c>
      <c r="F42" s="282">
        <f t="shared" si="8"/>
        <v>471595688</v>
      </c>
      <c r="G42" s="282">
        <f t="shared" si="8"/>
        <v>25000000</v>
      </c>
      <c r="H42" s="7"/>
    </row>
    <row r="43" spans="1:8" ht="31.5">
      <c r="A43" s="5"/>
      <c r="B43" s="284" t="s">
        <v>457</v>
      </c>
      <c r="C43" s="283">
        <v>500000000</v>
      </c>
      <c r="D43" s="283">
        <v>3404312.0000000047</v>
      </c>
      <c r="E43" s="283">
        <f t="shared" si="2"/>
        <v>496595688</v>
      </c>
      <c r="F43" s="283">
        <v>471595688</v>
      </c>
      <c r="G43" s="283">
        <v>25000000</v>
      </c>
      <c r="H43" s="7"/>
    </row>
    <row r="44" spans="1:8">
      <c r="A44" s="280">
        <v>8</v>
      </c>
      <c r="B44" s="281" t="s">
        <v>458</v>
      </c>
      <c r="C44" s="282">
        <f>C45</f>
        <v>500000000</v>
      </c>
      <c r="D44" s="282">
        <f t="shared" ref="D44:G44" si="9">D45</f>
        <v>299602.99999999051</v>
      </c>
      <c r="E44" s="282">
        <f t="shared" si="9"/>
        <v>499700397</v>
      </c>
      <c r="F44" s="282">
        <f t="shared" si="9"/>
        <v>474700397</v>
      </c>
      <c r="G44" s="282">
        <f t="shared" si="9"/>
        <v>25000000</v>
      </c>
      <c r="H44" s="7"/>
    </row>
    <row r="45" spans="1:8" ht="31.5">
      <c r="A45" s="5"/>
      <c r="B45" s="6" t="s">
        <v>459</v>
      </c>
      <c r="C45" s="283">
        <v>500000000</v>
      </c>
      <c r="D45" s="283">
        <v>299602.99999999051</v>
      </c>
      <c r="E45" s="283">
        <f t="shared" si="2"/>
        <v>499700397</v>
      </c>
      <c r="F45" s="283">
        <v>474700397</v>
      </c>
      <c r="G45" s="283">
        <v>25000000</v>
      </c>
      <c r="H45" s="7"/>
    </row>
    <row r="46" spans="1:8">
      <c r="A46" s="280">
        <v>9</v>
      </c>
      <c r="B46" s="281" t="s">
        <v>460</v>
      </c>
      <c r="C46" s="282">
        <f>SUM(C47:C51)</f>
        <v>1030000000</v>
      </c>
      <c r="D46" s="282">
        <f t="shared" ref="D46:G46" si="10">SUM(D47:D51)</f>
        <v>316.0000001116714</v>
      </c>
      <c r="E46" s="282">
        <f t="shared" si="10"/>
        <v>1029999683.9999999</v>
      </c>
      <c r="F46" s="282">
        <f t="shared" si="10"/>
        <v>978499683.99999988</v>
      </c>
      <c r="G46" s="282">
        <f t="shared" si="10"/>
        <v>51500000</v>
      </c>
      <c r="H46" s="7"/>
    </row>
    <row r="47" spans="1:8">
      <c r="A47" s="5"/>
      <c r="B47" s="6" t="s">
        <v>461</v>
      </c>
      <c r="C47" s="283">
        <v>250000000</v>
      </c>
      <c r="D47" s="283">
        <v>316.0000001116714</v>
      </c>
      <c r="E47" s="283">
        <f t="shared" si="2"/>
        <v>249999683.99999988</v>
      </c>
      <c r="F47" s="283">
        <v>198499683.99999988</v>
      </c>
      <c r="G47" s="283">
        <v>51500000</v>
      </c>
      <c r="H47" s="7"/>
    </row>
    <row r="48" spans="1:8">
      <c r="A48" s="5"/>
      <c r="B48" s="6" t="s">
        <v>462</v>
      </c>
      <c r="C48" s="283">
        <v>80000000</v>
      </c>
      <c r="D48" s="283"/>
      <c r="E48" s="283">
        <f t="shared" si="2"/>
        <v>80000000</v>
      </c>
      <c r="F48" s="283">
        <v>80000000</v>
      </c>
      <c r="G48" s="283"/>
      <c r="H48" s="7"/>
    </row>
    <row r="49" spans="1:8">
      <c r="A49" s="5"/>
      <c r="B49" s="6" t="s">
        <v>463</v>
      </c>
      <c r="C49" s="283">
        <v>450000000</v>
      </c>
      <c r="D49" s="283"/>
      <c r="E49" s="283">
        <f t="shared" si="2"/>
        <v>450000000</v>
      </c>
      <c r="F49" s="283">
        <v>450000000</v>
      </c>
      <c r="G49" s="283"/>
      <c r="H49" s="7"/>
    </row>
    <row r="50" spans="1:8">
      <c r="A50" s="5"/>
      <c r="B50" s="6" t="s">
        <v>1064</v>
      </c>
      <c r="C50" s="283">
        <v>150000000</v>
      </c>
      <c r="D50" s="283"/>
      <c r="E50" s="283">
        <f t="shared" si="2"/>
        <v>150000000</v>
      </c>
      <c r="F50" s="283">
        <v>150000000</v>
      </c>
      <c r="G50" s="283"/>
      <c r="H50" s="7"/>
    </row>
    <row r="51" spans="1:8">
      <c r="A51" s="5"/>
      <c r="B51" s="6" t="s">
        <v>464</v>
      </c>
      <c r="C51" s="283">
        <v>100000000</v>
      </c>
      <c r="D51" s="283"/>
      <c r="E51" s="283">
        <f t="shared" si="2"/>
        <v>100000000</v>
      </c>
      <c r="F51" s="283">
        <v>100000000</v>
      </c>
      <c r="G51" s="283"/>
      <c r="H51" s="7"/>
    </row>
    <row r="52" spans="1:8" ht="18" customHeight="1">
      <c r="A52" s="245" t="s">
        <v>20</v>
      </c>
      <c r="B52" s="246" t="s">
        <v>30</v>
      </c>
      <c r="C52" s="247">
        <f>SUM(C53:C84)</f>
        <v>6700000000</v>
      </c>
      <c r="D52" s="247">
        <f t="shared" ref="D52:G52" si="11">SUM(D53:D84)</f>
        <v>0</v>
      </c>
      <c r="E52" s="247">
        <f t="shared" si="11"/>
        <v>6700000000</v>
      </c>
      <c r="F52" s="247">
        <f t="shared" si="11"/>
        <v>6505244000</v>
      </c>
      <c r="G52" s="247">
        <f t="shared" si="11"/>
        <v>194756000</v>
      </c>
      <c r="H52" s="246"/>
    </row>
    <row r="53" spans="1:8" ht="31.5">
      <c r="A53" s="5">
        <v>1</v>
      </c>
      <c r="B53" s="6" t="s">
        <v>465</v>
      </c>
      <c r="C53" s="29">
        <v>350000000</v>
      </c>
      <c r="D53" s="29"/>
      <c r="E53" s="29">
        <v>350000000</v>
      </c>
      <c r="F53" s="29">
        <v>339394000</v>
      </c>
      <c r="G53" s="29">
        <v>10606000</v>
      </c>
      <c r="H53" s="7"/>
    </row>
    <row r="54" spans="1:8" ht="31.5">
      <c r="A54" s="5">
        <v>2</v>
      </c>
      <c r="B54" s="6" t="s">
        <v>466</v>
      </c>
      <c r="C54" s="29">
        <v>200000000</v>
      </c>
      <c r="D54" s="29"/>
      <c r="E54" s="29">
        <v>200000000</v>
      </c>
      <c r="F54" s="29">
        <v>194200000</v>
      </c>
      <c r="G54" s="29">
        <v>5800000</v>
      </c>
      <c r="H54" s="7"/>
    </row>
    <row r="55" spans="1:8" ht="31.5">
      <c r="A55" s="5">
        <v>3</v>
      </c>
      <c r="B55" s="6" t="s">
        <v>467</v>
      </c>
      <c r="C55" s="29">
        <v>60000000</v>
      </c>
      <c r="D55" s="29"/>
      <c r="E55" s="29">
        <v>60000000</v>
      </c>
      <c r="F55" s="29">
        <v>58260000</v>
      </c>
      <c r="G55" s="29">
        <v>1740000</v>
      </c>
      <c r="H55" s="7"/>
    </row>
    <row r="56" spans="1:8">
      <c r="A56" s="5">
        <v>4</v>
      </c>
      <c r="B56" s="6" t="s">
        <v>468</v>
      </c>
      <c r="C56" s="29">
        <v>200000000</v>
      </c>
      <c r="D56" s="29"/>
      <c r="E56" s="29">
        <v>200000000</v>
      </c>
      <c r="F56" s="29">
        <v>194200000</v>
      </c>
      <c r="G56" s="29">
        <v>5800000</v>
      </c>
      <c r="H56" s="7"/>
    </row>
    <row r="57" spans="1:8">
      <c r="A57" s="5">
        <v>5</v>
      </c>
      <c r="B57" s="6" t="s">
        <v>469</v>
      </c>
      <c r="C57" s="29">
        <v>200000000</v>
      </c>
      <c r="D57" s="29"/>
      <c r="E57" s="29">
        <v>200000000</v>
      </c>
      <c r="F57" s="29">
        <v>194200000</v>
      </c>
      <c r="G57" s="29">
        <v>5800000</v>
      </c>
      <c r="H57" s="7"/>
    </row>
    <row r="58" spans="1:8">
      <c r="A58" s="5">
        <v>6</v>
      </c>
      <c r="B58" s="6" t="s">
        <v>470</v>
      </c>
      <c r="C58" s="29">
        <v>200000000</v>
      </c>
      <c r="D58" s="29"/>
      <c r="E58" s="29">
        <v>200000000</v>
      </c>
      <c r="F58" s="29">
        <v>194200000</v>
      </c>
      <c r="G58" s="29">
        <v>5800000</v>
      </c>
      <c r="H58" s="7"/>
    </row>
    <row r="59" spans="1:8">
      <c r="A59" s="5">
        <v>7</v>
      </c>
      <c r="B59" s="6" t="s">
        <v>471</v>
      </c>
      <c r="C59" s="29">
        <v>200000000</v>
      </c>
      <c r="D59" s="29"/>
      <c r="E59" s="29">
        <v>200000000</v>
      </c>
      <c r="F59" s="29">
        <v>194200000</v>
      </c>
      <c r="G59" s="29">
        <v>5800000</v>
      </c>
      <c r="H59" s="7"/>
    </row>
    <row r="60" spans="1:8" ht="31.5">
      <c r="A60" s="5">
        <v>8</v>
      </c>
      <c r="B60" s="6" t="s">
        <v>472</v>
      </c>
      <c r="C60" s="29">
        <v>200000000</v>
      </c>
      <c r="D60" s="29"/>
      <c r="E60" s="29">
        <v>200000000</v>
      </c>
      <c r="F60" s="29">
        <v>194200000</v>
      </c>
      <c r="G60" s="29">
        <v>5800000</v>
      </c>
      <c r="H60" s="7"/>
    </row>
    <row r="61" spans="1:8" ht="31.5">
      <c r="A61" s="5">
        <v>9</v>
      </c>
      <c r="B61" s="6" t="s">
        <v>473</v>
      </c>
      <c r="C61" s="29">
        <v>350000000</v>
      </c>
      <c r="D61" s="29"/>
      <c r="E61" s="29">
        <v>350000000</v>
      </c>
      <c r="F61" s="29">
        <v>339850000</v>
      </c>
      <c r="G61" s="29">
        <v>10150000</v>
      </c>
      <c r="H61" s="7"/>
    </row>
    <row r="62" spans="1:8" ht="31.5">
      <c r="A62" s="5">
        <v>10</v>
      </c>
      <c r="B62" s="6" t="s">
        <v>474</v>
      </c>
      <c r="C62" s="29">
        <v>160000000</v>
      </c>
      <c r="D62" s="29"/>
      <c r="E62" s="29">
        <v>160000000</v>
      </c>
      <c r="F62" s="29">
        <v>155360000</v>
      </c>
      <c r="G62" s="29">
        <v>4640000</v>
      </c>
      <c r="H62" s="7"/>
    </row>
    <row r="63" spans="1:8">
      <c r="A63" s="5">
        <v>11</v>
      </c>
      <c r="B63" s="6" t="s">
        <v>475</v>
      </c>
      <c r="C63" s="29">
        <v>40000000</v>
      </c>
      <c r="D63" s="29"/>
      <c r="E63" s="29">
        <v>40000000</v>
      </c>
      <c r="F63" s="29">
        <v>38840000</v>
      </c>
      <c r="G63" s="29">
        <v>1160000</v>
      </c>
      <c r="H63" s="7"/>
    </row>
    <row r="64" spans="1:8" ht="31.5">
      <c r="A64" s="5">
        <v>12</v>
      </c>
      <c r="B64" s="6" t="s">
        <v>476</v>
      </c>
      <c r="C64" s="29">
        <v>120000000</v>
      </c>
      <c r="D64" s="29"/>
      <c r="E64" s="29">
        <v>120000000</v>
      </c>
      <c r="F64" s="29">
        <v>116520000</v>
      </c>
      <c r="G64" s="29">
        <v>3480000</v>
      </c>
      <c r="H64" s="7"/>
    </row>
    <row r="65" spans="1:8" ht="31.5">
      <c r="A65" s="5">
        <v>13</v>
      </c>
      <c r="B65" s="6" t="s">
        <v>477</v>
      </c>
      <c r="C65" s="29">
        <v>60000000</v>
      </c>
      <c r="D65" s="29"/>
      <c r="E65" s="29">
        <v>60000000</v>
      </c>
      <c r="F65" s="29">
        <v>58260000</v>
      </c>
      <c r="G65" s="29">
        <v>1740000</v>
      </c>
      <c r="H65" s="7"/>
    </row>
    <row r="66" spans="1:8">
      <c r="A66" s="5">
        <v>14</v>
      </c>
      <c r="B66" s="6" t="s">
        <v>478</v>
      </c>
      <c r="C66" s="29">
        <v>80000000</v>
      </c>
      <c r="D66" s="29"/>
      <c r="E66" s="29">
        <v>80000000</v>
      </c>
      <c r="F66" s="29">
        <v>77680000</v>
      </c>
      <c r="G66" s="29">
        <v>2320000</v>
      </c>
      <c r="H66" s="7"/>
    </row>
    <row r="67" spans="1:8" ht="31.5">
      <c r="A67" s="5">
        <v>15</v>
      </c>
      <c r="B67" s="6" t="s">
        <v>479</v>
      </c>
      <c r="C67" s="29">
        <v>200000000</v>
      </c>
      <c r="D67" s="29"/>
      <c r="E67" s="29">
        <v>200000000</v>
      </c>
      <c r="F67" s="29">
        <v>194200000</v>
      </c>
      <c r="G67" s="29">
        <v>5800000</v>
      </c>
      <c r="H67" s="7"/>
    </row>
    <row r="68" spans="1:8">
      <c r="A68" s="5">
        <v>16</v>
      </c>
      <c r="B68" s="6" t="s">
        <v>480</v>
      </c>
      <c r="C68" s="29">
        <v>150000000</v>
      </c>
      <c r="D68" s="29"/>
      <c r="E68" s="29">
        <v>150000000</v>
      </c>
      <c r="F68" s="29">
        <v>145650000</v>
      </c>
      <c r="G68" s="29">
        <v>4350000</v>
      </c>
      <c r="H68" s="7"/>
    </row>
    <row r="69" spans="1:8">
      <c r="A69" s="5">
        <v>17</v>
      </c>
      <c r="B69" s="6" t="s">
        <v>481</v>
      </c>
      <c r="C69" s="29">
        <v>200000000</v>
      </c>
      <c r="D69" s="29"/>
      <c r="E69" s="29">
        <v>200000000</v>
      </c>
      <c r="F69" s="29">
        <v>194200000</v>
      </c>
      <c r="G69" s="29">
        <v>5800000</v>
      </c>
      <c r="H69" s="7"/>
    </row>
    <row r="70" spans="1:8">
      <c r="A70" s="5">
        <v>18</v>
      </c>
      <c r="B70" s="6" t="s">
        <v>482</v>
      </c>
      <c r="C70" s="29">
        <v>200000000</v>
      </c>
      <c r="D70" s="29"/>
      <c r="E70" s="29">
        <v>200000000</v>
      </c>
      <c r="F70" s="29">
        <v>194200000</v>
      </c>
      <c r="G70" s="29">
        <v>5800000</v>
      </c>
      <c r="H70" s="7"/>
    </row>
    <row r="71" spans="1:8">
      <c r="A71" s="5">
        <v>19</v>
      </c>
      <c r="B71" s="6" t="s">
        <v>483</v>
      </c>
      <c r="C71" s="29">
        <v>50000000</v>
      </c>
      <c r="D71" s="29"/>
      <c r="E71" s="29">
        <v>50000000</v>
      </c>
      <c r="F71" s="29">
        <v>48550000</v>
      </c>
      <c r="G71" s="29">
        <v>1450000</v>
      </c>
      <c r="H71" s="7"/>
    </row>
    <row r="72" spans="1:8">
      <c r="A72" s="5">
        <v>20</v>
      </c>
      <c r="B72" s="6" t="s">
        <v>484</v>
      </c>
      <c r="C72" s="29">
        <v>100000000</v>
      </c>
      <c r="D72" s="29"/>
      <c r="E72" s="29">
        <v>100000000</v>
      </c>
      <c r="F72" s="29">
        <v>97100000</v>
      </c>
      <c r="G72" s="29">
        <v>2900000</v>
      </c>
      <c r="H72" s="7"/>
    </row>
    <row r="73" spans="1:8" ht="31.5">
      <c r="A73" s="5">
        <v>21</v>
      </c>
      <c r="B73" s="6" t="s">
        <v>485</v>
      </c>
      <c r="C73" s="29">
        <v>120000000</v>
      </c>
      <c r="D73" s="29"/>
      <c r="E73" s="29">
        <v>120000000</v>
      </c>
      <c r="F73" s="29">
        <v>116520000</v>
      </c>
      <c r="G73" s="29">
        <v>3480000</v>
      </c>
      <c r="H73" s="7"/>
    </row>
    <row r="74" spans="1:8" ht="31.5">
      <c r="A74" s="5">
        <v>22</v>
      </c>
      <c r="B74" s="6" t="s">
        <v>486</v>
      </c>
      <c r="C74" s="29">
        <v>300000000</v>
      </c>
      <c r="D74" s="29"/>
      <c r="E74" s="29">
        <v>300000000</v>
      </c>
      <c r="F74" s="29">
        <v>291300000</v>
      </c>
      <c r="G74" s="29">
        <v>8700000</v>
      </c>
      <c r="H74" s="7"/>
    </row>
    <row r="75" spans="1:8" ht="31.5">
      <c r="A75" s="5">
        <v>23</v>
      </c>
      <c r="B75" s="6" t="s">
        <v>487</v>
      </c>
      <c r="C75" s="29">
        <v>300000000</v>
      </c>
      <c r="D75" s="29"/>
      <c r="E75" s="29">
        <v>300000000</v>
      </c>
      <c r="F75" s="29">
        <v>291300000</v>
      </c>
      <c r="G75" s="29">
        <v>8700000</v>
      </c>
      <c r="H75" s="7"/>
    </row>
    <row r="76" spans="1:8" ht="31.5">
      <c r="A76" s="5">
        <v>24</v>
      </c>
      <c r="B76" s="6" t="s">
        <v>488</v>
      </c>
      <c r="C76" s="29">
        <v>500000000</v>
      </c>
      <c r="D76" s="29"/>
      <c r="E76" s="29">
        <v>500000000</v>
      </c>
      <c r="F76" s="29">
        <v>485500000</v>
      </c>
      <c r="G76" s="29">
        <v>14500000</v>
      </c>
      <c r="H76" s="7"/>
    </row>
    <row r="77" spans="1:8" ht="31.5">
      <c r="A77" s="5">
        <v>25</v>
      </c>
      <c r="B77" s="6" t="s">
        <v>489</v>
      </c>
      <c r="C77" s="29">
        <v>100000000</v>
      </c>
      <c r="D77" s="29"/>
      <c r="E77" s="29">
        <v>100000000</v>
      </c>
      <c r="F77" s="29">
        <v>97100000</v>
      </c>
      <c r="G77" s="29">
        <v>2900000</v>
      </c>
      <c r="H77" s="7"/>
    </row>
    <row r="78" spans="1:8" ht="31.5">
      <c r="A78" s="5">
        <v>26</v>
      </c>
      <c r="B78" s="6" t="s">
        <v>490</v>
      </c>
      <c r="C78" s="29">
        <v>300000000</v>
      </c>
      <c r="D78" s="29"/>
      <c r="E78" s="29">
        <v>300000000</v>
      </c>
      <c r="F78" s="29">
        <v>291300000</v>
      </c>
      <c r="G78" s="29">
        <v>8700000</v>
      </c>
      <c r="H78" s="7"/>
    </row>
    <row r="79" spans="1:8">
      <c r="A79" s="5">
        <v>27</v>
      </c>
      <c r="B79" s="6" t="s">
        <v>491</v>
      </c>
      <c r="C79" s="29">
        <v>450000000</v>
      </c>
      <c r="D79" s="29"/>
      <c r="E79" s="29">
        <v>450000000</v>
      </c>
      <c r="F79" s="29">
        <v>436950000</v>
      </c>
      <c r="G79" s="29">
        <v>13050000</v>
      </c>
      <c r="H79" s="7"/>
    </row>
    <row r="80" spans="1:8">
      <c r="A80" s="5">
        <v>28</v>
      </c>
      <c r="B80" s="6" t="s">
        <v>492</v>
      </c>
      <c r="C80" s="29">
        <v>90000000</v>
      </c>
      <c r="D80" s="29"/>
      <c r="E80" s="29">
        <v>90000000</v>
      </c>
      <c r="F80" s="29">
        <v>87390000</v>
      </c>
      <c r="G80" s="29">
        <v>2610000</v>
      </c>
      <c r="H80" s="7"/>
    </row>
    <row r="81" spans="1:8" ht="31.5">
      <c r="A81" s="5">
        <v>29</v>
      </c>
      <c r="B81" s="6" t="s">
        <v>493</v>
      </c>
      <c r="C81" s="29">
        <v>90000000</v>
      </c>
      <c r="D81" s="29"/>
      <c r="E81" s="29">
        <v>90000000</v>
      </c>
      <c r="F81" s="29">
        <v>87390000</v>
      </c>
      <c r="G81" s="29">
        <v>2610000</v>
      </c>
      <c r="H81" s="7"/>
    </row>
    <row r="82" spans="1:8">
      <c r="A82" s="5">
        <v>30</v>
      </c>
      <c r="B82" s="6" t="s">
        <v>494</v>
      </c>
      <c r="C82" s="29">
        <v>300000000</v>
      </c>
      <c r="D82" s="29"/>
      <c r="E82" s="29">
        <v>300000000</v>
      </c>
      <c r="F82" s="29">
        <v>291300000</v>
      </c>
      <c r="G82" s="29">
        <v>8700000</v>
      </c>
      <c r="H82" s="7"/>
    </row>
    <row r="83" spans="1:8">
      <c r="A83" s="5">
        <v>31</v>
      </c>
      <c r="B83" s="6" t="s">
        <v>495</v>
      </c>
      <c r="C83" s="29">
        <v>330000000</v>
      </c>
      <c r="D83" s="29"/>
      <c r="E83" s="29">
        <v>330000000</v>
      </c>
      <c r="F83" s="29">
        <v>320430000</v>
      </c>
      <c r="G83" s="29">
        <v>9570000</v>
      </c>
      <c r="H83" s="7"/>
    </row>
    <row r="84" spans="1:8" ht="31.5">
      <c r="A84" s="5">
        <v>32</v>
      </c>
      <c r="B84" s="6" t="s">
        <v>496</v>
      </c>
      <c r="C84" s="29">
        <v>500000000</v>
      </c>
      <c r="D84" s="29"/>
      <c r="E84" s="29">
        <v>500000000</v>
      </c>
      <c r="F84" s="29">
        <v>485500000</v>
      </c>
      <c r="G84" s="29">
        <v>14500000</v>
      </c>
      <c r="H84" s="7"/>
    </row>
    <row r="85" spans="1:8" ht="21" customHeight="1">
      <c r="A85" s="245" t="s">
        <v>55</v>
      </c>
      <c r="B85" s="246" t="s">
        <v>48</v>
      </c>
      <c r="C85" s="247">
        <f>C86+C91+C96+C99+C104+C106+C110</f>
        <v>7301845791</v>
      </c>
      <c r="D85" s="247">
        <f t="shared" ref="D85:G85" si="12">D86+D91+D96+D99+D104+D106+D110</f>
        <v>0</v>
      </c>
      <c r="E85" s="247">
        <f t="shared" si="12"/>
        <v>7228242005</v>
      </c>
      <c r="F85" s="247">
        <f t="shared" si="12"/>
        <v>7226596005</v>
      </c>
      <c r="G85" s="247">
        <f t="shared" si="12"/>
        <v>1646000</v>
      </c>
      <c r="H85" s="246"/>
    </row>
    <row r="86" spans="1:8">
      <c r="A86" s="260">
        <v>1</v>
      </c>
      <c r="B86" s="261" t="s">
        <v>383</v>
      </c>
      <c r="C86" s="262">
        <f>SUM(C87:C90)</f>
        <v>960000000</v>
      </c>
      <c r="D86" s="262">
        <f t="shared" ref="D86:G86" si="13">SUM(D87:D90)</f>
        <v>0</v>
      </c>
      <c r="E86" s="262">
        <f t="shared" si="13"/>
        <v>960000000</v>
      </c>
      <c r="F86" s="262">
        <f t="shared" si="13"/>
        <v>960000000</v>
      </c>
      <c r="G86" s="262">
        <f t="shared" si="13"/>
        <v>0</v>
      </c>
      <c r="H86" s="7"/>
    </row>
    <row r="87" spans="1:8">
      <c r="A87" s="263" t="s">
        <v>306</v>
      </c>
      <c r="B87" s="264" t="s">
        <v>497</v>
      </c>
      <c r="C87" s="265">
        <v>150000000</v>
      </c>
      <c r="D87" s="254"/>
      <c r="E87" s="254">
        <f>SUM(F87:G87)</f>
        <v>150000000</v>
      </c>
      <c r="F87" s="265">
        <v>150000000</v>
      </c>
      <c r="G87" s="254"/>
      <c r="H87" s="7"/>
    </row>
    <row r="88" spans="1:8">
      <c r="A88" s="263" t="s">
        <v>306</v>
      </c>
      <c r="B88" s="264" t="s">
        <v>498</v>
      </c>
      <c r="C88" s="265">
        <v>260000000</v>
      </c>
      <c r="D88" s="254"/>
      <c r="E88" s="254">
        <f t="shared" ref="E88:E115" si="14">SUM(F88:G88)</f>
        <v>260000000</v>
      </c>
      <c r="F88" s="265">
        <v>260000000</v>
      </c>
      <c r="G88" s="254"/>
      <c r="H88" s="7"/>
    </row>
    <row r="89" spans="1:8">
      <c r="A89" s="263" t="s">
        <v>306</v>
      </c>
      <c r="B89" s="264" t="s">
        <v>499</v>
      </c>
      <c r="C89" s="265">
        <v>350000000</v>
      </c>
      <c r="D89" s="254"/>
      <c r="E89" s="254">
        <f t="shared" si="14"/>
        <v>350000000</v>
      </c>
      <c r="F89" s="265">
        <v>350000000</v>
      </c>
      <c r="G89" s="254"/>
      <c r="H89" s="7"/>
    </row>
    <row r="90" spans="1:8">
      <c r="A90" s="263" t="s">
        <v>306</v>
      </c>
      <c r="B90" s="264" t="s">
        <v>500</v>
      </c>
      <c r="C90" s="265">
        <v>200000000</v>
      </c>
      <c r="D90" s="254"/>
      <c r="E90" s="254">
        <f t="shared" si="14"/>
        <v>200000000</v>
      </c>
      <c r="F90" s="265">
        <v>200000000</v>
      </c>
      <c r="G90" s="254"/>
      <c r="H90" s="7"/>
    </row>
    <row r="91" spans="1:8">
      <c r="A91" s="260">
        <v>2</v>
      </c>
      <c r="B91" s="261" t="s">
        <v>501</v>
      </c>
      <c r="C91" s="262">
        <f>SUM(C92:C95)</f>
        <v>600000000</v>
      </c>
      <c r="D91" s="262">
        <f t="shared" ref="D91:G91" si="15">SUM(D92:D95)</f>
        <v>0</v>
      </c>
      <c r="E91" s="262">
        <f t="shared" si="15"/>
        <v>600000000</v>
      </c>
      <c r="F91" s="262">
        <f t="shared" si="15"/>
        <v>600000000</v>
      </c>
      <c r="G91" s="262">
        <f t="shared" si="15"/>
        <v>0</v>
      </c>
      <c r="H91" s="7"/>
    </row>
    <row r="92" spans="1:8">
      <c r="A92" s="263" t="s">
        <v>306</v>
      </c>
      <c r="B92" s="264" t="s">
        <v>1060</v>
      </c>
      <c r="C92" s="265">
        <v>150000000</v>
      </c>
      <c r="D92" s="254"/>
      <c r="E92" s="254">
        <f t="shared" si="14"/>
        <v>150000000</v>
      </c>
      <c r="F92" s="265">
        <v>150000000</v>
      </c>
      <c r="G92" s="254"/>
      <c r="H92" s="7"/>
    </row>
    <row r="93" spans="1:8">
      <c r="A93" s="263" t="s">
        <v>306</v>
      </c>
      <c r="B93" s="264" t="s">
        <v>1061</v>
      </c>
      <c r="C93" s="265">
        <v>150000000</v>
      </c>
      <c r="D93" s="254"/>
      <c r="E93" s="254">
        <f t="shared" si="14"/>
        <v>150000000</v>
      </c>
      <c r="F93" s="265">
        <v>150000000</v>
      </c>
      <c r="G93" s="254"/>
      <c r="H93" s="7"/>
    </row>
    <row r="94" spans="1:8">
      <c r="A94" s="263" t="s">
        <v>306</v>
      </c>
      <c r="B94" s="264" t="s">
        <v>1062</v>
      </c>
      <c r="C94" s="265">
        <v>150000000</v>
      </c>
      <c r="D94" s="254"/>
      <c r="E94" s="254">
        <f t="shared" si="14"/>
        <v>150000000</v>
      </c>
      <c r="F94" s="265">
        <v>150000000</v>
      </c>
      <c r="G94" s="254"/>
      <c r="H94" s="7"/>
    </row>
    <row r="95" spans="1:8">
      <c r="A95" s="263" t="s">
        <v>306</v>
      </c>
      <c r="B95" s="264" t="s">
        <v>1063</v>
      </c>
      <c r="C95" s="265">
        <v>150000000</v>
      </c>
      <c r="D95" s="254"/>
      <c r="E95" s="254">
        <f t="shared" si="14"/>
        <v>150000000</v>
      </c>
      <c r="F95" s="265">
        <v>150000000</v>
      </c>
      <c r="G95" s="254"/>
      <c r="H95" s="7"/>
    </row>
    <row r="96" spans="1:8">
      <c r="A96" s="260">
        <v>3</v>
      </c>
      <c r="B96" s="285" t="s">
        <v>502</v>
      </c>
      <c r="C96" s="262">
        <f>SUM(C97:C98)</f>
        <v>800000000</v>
      </c>
      <c r="D96" s="262">
        <f t="shared" ref="D96:G96" si="16">SUM(D97:D98)</f>
        <v>0</v>
      </c>
      <c r="E96" s="262">
        <f t="shared" si="16"/>
        <v>800000000</v>
      </c>
      <c r="F96" s="262">
        <f t="shared" si="16"/>
        <v>800000000</v>
      </c>
      <c r="G96" s="262">
        <f t="shared" si="16"/>
        <v>0</v>
      </c>
      <c r="H96" s="7"/>
    </row>
    <row r="97" spans="1:8">
      <c r="A97" s="263" t="s">
        <v>306</v>
      </c>
      <c r="B97" s="264" t="s">
        <v>503</v>
      </c>
      <c r="C97" s="265">
        <v>450000000</v>
      </c>
      <c r="D97" s="286"/>
      <c r="E97" s="254">
        <f t="shared" si="14"/>
        <v>450000000</v>
      </c>
      <c r="F97" s="265">
        <v>450000000</v>
      </c>
      <c r="G97" s="286"/>
      <c r="H97" s="7"/>
    </row>
    <row r="98" spans="1:8">
      <c r="A98" s="263" t="s">
        <v>306</v>
      </c>
      <c r="B98" s="264" t="s">
        <v>504</v>
      </c>
      <c r="C98" s="265">
        <v>350000000</v>
      </c>
      <c r="D98" s="286"/>
      <c r="E98" s="254">
        <f t="shared" si="14"/>
        <v>350000000</v>
      </c>
      <c r="F98" s="265">
        <v>350000000</v>
      </c>
      <c r="G98" s="286"/>
      <c r="H98" s="7"/>
    </row>
    <row r="99" spans="1:8">
      <c r="A99" s="260">
        <v>4</v>
      </c>
      <c r="B99" s="285" t="s">
        <v>505</v>
      </c>
      <c r="C99" s="262">
        <f>SUM(C100:C103)</f>
        <v>2200867487</v>
      </c>
      <c r="D99" s="262">
        <f t="shared" ref="D99:G99" si="17">SUM(D100:D103)</f>
        <v>0</v>
      </c>
      <c r="E99" s="262">
        <f t="shared" si="17"/>
        <v>2127263701</v>
      </c>
      <c r="F99" s="262">
        <f t="shared" si="17"/>
        <v>2125617701</v>
      </c>
      <c r="G99" s="262">
        <f t="shared" si="17"/>
        <v>1646000</v>
      </c>
      <c r="H99" s="7"/>
    </row>
    <row r="100" spans="1:8" ht="31.5">
      <c r="A100" s="287" t="s">
        <v>306</v>
      </c>
      <c r="B100" s="288" t="s">
        <v>506</v>
      </c>
      <c r="C100" s="289">
        <v>898354000</v>
      </c>
      <c r="D100" s="286"/>
      <c r="E100" s="254">
        <f t="shared" si="14"/>
        <v>900000000</v>
      </c>
      <c r="F100" s="289">
        <v>898354000</v>
      </c>
      <c r="G100" s="289">
        <v>1646000</v>
      </c>
      <c r="H100" s="7"/>
    </row>
    <row r="101" spans="1:8" ht="31.5">
      <c r="A101" s="287" t="s">
        <v>306</v>
      </c>
      <c r="B101" s="288" t="s">
        <v>507</v>
      </c>
      <c r="C101" s="289">
        <v>342513487</v>
      </c>
      <c r="D101" s="286"/>
      <c r="E101" s="254">
        <f t="shared" si="14"/>
        <v>267263701</v>
      </c>
      <c r="F101" s="40">
        <f>342513487-75249786</f>
        <v>267263701</v>
      </c>
      <c r="G101" s="289"/>
      <c r="H101" s="7"/>
    </row>
    <row r="102" spans="1:8" ht="31.5">
      <c r="A102" s="287" t="s">
        <v>306</v>
      </c>
      <c r="B102" s="288" t="s">
        <v>508</v>
      </c>
      <c r="C102" s="289">
        <v>480000000</v>
      </c>
      <c r="D102" s="286"/>
      <c r="E102" s="254">
        <f t="shared" si="14"/>
        <v>480000000</v>
      </c>
      <c r="F102" s="289">
        <v>480000000</v>
      </c>
      <c r="G102" s="289"/>
      <c r="H102" s="7"/>
    </row>
    <row r="103" spans="1:8" ht="31.5">
      <c r="A103" s="287" t="s">
        <v>306</v>
      </c>
      <c r="B103" s="288" t="s">
        <v>509</v>
      </c>
      <c r="C103" s="289">
        <v>480000000</v>
      </c>
      <c r="D103" s="286"/>
      <c r="E103" s="254">
        <f t="shared" si="14"/>
        <v>480000000</v>
      </c>
      <c r="F103" s="289">
        <v>480000000</v>
      </c>
      <c r="G103" s="289"/>
      <c r="H103" s="7"/>
    </row>
    <row r="104" spans="1:8">
      <c r="A104" s="260">
        <v>5</v>
      </c>
      <c r="B104" s="285" t="s">
        <v>510</v>
      </c>
      <c r="C104" s="262">
        <f>C105</f>
        <v>900000000</v>
      </c>
      <c r="D104" s="262">
        <f t="shared" ref="D104:G104" si="18">D105</f>
        <v>0</v>
      </c>
      <c r="E104" s="262">
        <f t="shared" si="18"/>
        <v>900000000</v>
      </c>
      <c r="F104" s="262">
        <f t="shared" si="18"/>
        <v>900000000</v>
      </c>
      <c r="G104" s="262">
        <f t="shared" si="18"/>
        <v>0</v>
      </c>
      <c r="H104" s="7"/>
    </row>
    <row r="105" spans="1:8" ht="31.5">
      <c r="A105" s="263"/>
      <c r="B105" s="264" t="s">
        <v>511</v>
      </c>
      <c r="C105" s="289">
        <v>900000000</v>
      </c>
      <c r="D105" s="286"/>
      <c r="E105" s="254">
        <f t="shared" si="14"/>
        <v>900000000</v>
      </c>
      <c r="F105" s="289">
        <v>900000000</v>
      </c>
      <c r="G105" s="290">
        <f t="shared" ref="G105:G106" si="19">SUM(G106:G108)</f>
        <v>0</v>
      </c>
      <c r="H105" s="7"/>
    </row>
    <row r="106" spans="1:8">
      <c r="A106" s="260">
        <v>6</v>
      </c>
      <c r="B106" s="285" t="s">
        <v>400</v>
      </c>
      <c r="C106" s="262">
        <f>SUM(C107:C109)</f>
        <v>400000000</v>
      </c>
      <c r="D106" s="262">
        <f t="shared" ref="D106:F106" si="20">SUM(D107:D109)</f>
        <v>0</v>
      </c>
      <c r="E106" s="262">
        <f t="shared" si="20"/>
        <v>400000000</v>
      </c>
      <c r="F106" s="262">
        <f t="shared" si="20"/>
        <v>400000000</v>
      </c>
      <c r="G106" s="262">
        <f t="shared" si="19"/>
        <v>0</v>
      </c>
      <c r="H106" s="7"/>
    </row>
    <row r="107" spans="1:8">
      <c r="A107" s="263" t="s">
        <v>306</v>
      </c>
      <c r="B107" s="265" t="s">
        <v>512</v>
      </c>
      <c r="C107" s="265">
        <v>100000000</v>
      </c>
      <c r="D107" s="286"/>
      <c r="E107" s="254">
        <f t="shared" si="14"/>
        <v>100000000</v>
      </c>
      <c r="F107" s="265">
        <v>100000000</v>
      </c>
      <c r="G107" s="265"/>
      <c r="H107" s="7"/>
    </row>
    <row r="108" spans="1:8">
      <c r="A108" s="263" t="s">
        <v>306</v>
      </c>
      <c r="B108" s="265" t="s">
        <v>513</v>
      </c>
      <c r="C108" s="265">
        <v>150000000</v>
      </c>
      <c r="D108" s="286"/>
      <c r="E108" s="254">
        <f t="shared" si="14"/>
        <v>150000000</v>
      </c>
      <c r="F108" s="265">
        <v>150000000</v>
      </c>
      <c r="G108" s="265"/>
      <c r="H108" s="7"/>
    </row>
    <row r="109" spans="1:8" ht="31.5">
      <c r="A109" s="263" t="s">
        <v>306</v>
      </c>
      <c r="B109" s="265" t="s">
        <v>514</v>
      </c>
      <c r="C109" s="289">
        <v>150000000</v>
      </c>
      <c r="D109" s="286"/>
      <c r="E109" s="254">
        <f t="shared" si="14"/>
        <v>150000000</v>
      </c>
      <c r="F109" s="289">
        <v>150000000</v>
      </c>
      <c r="G109" s="290">
        <f t="shared" ref="G109:G110" si="21">SUM(G110:G114)</f>
        <v>0</v>
      </c>
      <c r="H109" s="7"/>
    </row>
    <row r="110" spans="1:8">
      <c r="A110" s="260">
        <v>7</v>
      </c>
      <c r="B110" s="285" t="s">
        <v>515</v>
      </c>
      <c r="C110" s="262">
        <f>SUM(C111:C115)</f>
        <v>1440978304</v>
      </c>
      <c r="D110" s="262">
        <f t="shared" ref="D110:F110" si="22">SUM(D111:D115)</f>
        <v>0</v>
      </c>
      <c r="E110" s="262">
        <f t="shared" si="22"/>
        <v>1440978304</v>
      </c>
      <c r="F110" s="262">
        <f t="shared" si="22"/>
        <v>1440978304</v>
      </c>
      <c r="G110" s="262">
        <f t="shared" si="21"/>
        <v>0</v>
      </c>
      <c r="H110" s="7"/>
    </row>
    <row r="111" spans="1:8" ht="31.5">
      <c r="A111" s="263" t="s">
        <v>306</v>
      </c>
      <c r="B111" s="291" t="s">
        <v>516</v>
      </c>
      <c r="C111" s="265">
        <f>240978304</f>
        <v>240978304</v>
      </c>
      <c r="D111" s="286"/>
      <c r="E111" s="254">
        <f t="shared" si="14"/>
        <v>240978304</v>
      </c>
      <c r="F111" s="265">
        <f>240978304</f>
        <v>240978304</v>
      </c>
      <c r="G111" s="289"/>
      <c r="H111" s="7"/>
    </row>
    <row r="112" spans="1:8">
      <c r="A112" s="263" t="s">
        <v>306</v>
      </c>
      <c r="B112" s="292" t="s">
        <v>1056</v>
      </c>
      <c r="C112" s="289">
        <v>400000000</v>
      </c>
      <c r="D112" s="286"/>
      <c r="E112" s="254">
        <f t="shared" si="14"/>
        <v>400000000</v>
      </c>
      <c r="F112" s="289">
        <v>400000000</v>
      </c>
      <c r="G112" s="289"/>
      <c r="H112" s="7"/>
    </row>
    <row r="113" spans="1:8">
      <c r="A113" s="263" t="s">
        <v>306</v>
      </c>
      <c r="B113" s="292" t="s">
        <v>1057</v>
      </c>
      <c r="C113" s="289">
        <v>200000000</v>
      </c>
      <c r="D113" s="286"/>
      <c r="E113" s="254">
        <f t="shared" si="14"/>
        <v>200000000</v>
      </c>
      <c r="F113" s="289">
        <v>200000000</v>
      </c>
      <c r="G113" s="289"/>
      <c r="H113" s="7"/>
    </row>
    <row r="114" spans="1:8">
      <c r="A114" s="263" t="s">
        <v>306</v>
      </c>
      <c r="B114" s="292" t="s">
        <v>1058</v>
      </c>
      <c r="C114" s="289">
        <v>350000000</v>
      </c>
      <c r="D114" s="286"/>
      <c r="E114" s="254">
        <f t="shared" si="14"/>
        <v>350000000</v>
      </c>
      <c r="F114" s="289">
        <v>350000000</v>
      </c>
      <c r="G114" s="289"/>
      <c r="H114" s="7"/>
    </row>
    <row r="115" spans="1:8">
      <c r="A115" s="263" t="s">
        <v>306</v>
      </c>
      <c r="B115" s="292" t="s">
        <v>1059</v>
      </c>
      <c r="C115" s="289">
        <v>250000000</v>
      </c>
      <c r="D115" s="286"/>
      <c r="E115" s="254">
        <f t="shared" si="14"/>
        <v>250000000</v>
      </c>
      <c r="F115" s="289">
        <v>250000000</v>
      </c>
      <c r="G115" s="289"/>
      <c r="H115" s="7"/>
    </row>
    <row r="116" spans="1:8" ht="21" customHeight="1">
      <c r="A116" s="245" t="s">
        <v>56</v>
      </c>
      <c r="B116" s="246" t="s">
        <v>76</v>
      </c>
      <c r="C116" s="247">
        <f>C117+C119+C121+C123+C125+C127+C130+C132+C134+C136+C139+C141+C145+C149+C152+C156+C158</f>
        <v>5550000000</v>
      </c>
      <c r="D116" s="247">
        <f t="shared" ref="D116:G116" si="23">D117+D119+D121+D123+D125+D127+D130+D132+D134+D136+D139+D141+D145+D149+D152+D156+D158</f>
        <v>0</v>
      </c>
      <c r="E116" s="247">
        <f t="shared" si="23"/>
        <v>5550000000</v>
      </c>
      <c r="F116" s="247">
        <f t="shared" si="23"/>
        <v>5550000000</v>
      </c>
      <c r="G116" s="247">
        <f t="shared" si="23"/>
        <v>0</v>
      </c>
      <c r="H116" s="246"/>
    </row>
    <row r="117" spans="1:8">
      <c r="A117" s="280">
        <v>1</v>
      </c>
      <c r="B117" s="340" t="s">
        <v>517</v>
      </c>
      <c r="C117" s="249">
        <f>+C118</f>
        <v>361600000</v>
      </c>
      <c r="D117" s="18"/>
      <c r="E117" s="293">
        <f>+F117+G117</f>
        <v>361600000</v>
      </c>
      <c r="F117" s="249">
        <f>+F118</f>
        <v>361600000</v>
      </c>
      <c r="G117" s="18"/>
      <c r="H117" s="7"/>
    </row>
    <row r="118" spans="1:8">
      <c r="A118" s="280"/>
      <c r="B118" s="341" t="s">
        <v>518</v>
      </c>
      <c r="C118" s="29">
        <f>361730000+130000-260000</f>
        <v>361600000</v>
      </c>
      <c r="D118" s="18"/>
      <c r="E118" s="18">
        <f t="shared" ref="E118:E159" si="24">+F118+G118</f>
        <v>361600000</v>
      </c>
      <c r="F118" s="29">
        <f>361730000+130000-260000</f>
        <v>361600000</v>
      </c>
      <c r="G118" s="18"/>
      <c r="H118" s="7"/>
    </row>
    <row r="119" spans="1:8">
      <c r="A119" s="280">
        <v>2</v>
      </c>
      <c r="B119" s="340" t="s">
        <v>519</v>
      </c>
      <c r="C119" s="249">
        <f>+C120</f>
        <v>397700000</v>
      </c>
      <c r="D119" s="18"/>
      <c r="E119" s="293">
        <f>+F119+G119</f>
        <v>397700000</v>
      </c>
      <c r="F119" s="249">
        <f>+F120</f>
        <v>397700000</v>
      </c>
      <c r="G119" s="18"/>
      <c r="H119" s="7"/>
    </row>
    <row r="120" spans="1:8" ht="31.5">
      <c r="A120" s="280"/>
      <c r="B120" s="342" t="s">
        <v>520</v>
      </c>
      <c r="C120" s="29">
        <v>397700000</v>
      </c>
      <c r="D120" s="18"/>
      <c r="E120" s="18">
        <f t="shared" si="24"/>
        <v>397700000</v>
      </c>
      <c r="F120" s="29">
        <v>397700000</v>
      </c>
      <c r="G120" s="18"/>
      <c r="H120" s="7"/>
    </row>
    <row r="121" spans="1:8">
      <c r="A121" s="280">
        <v>3</v>
      </c>
      <c r="B121" s="340" t="s">
        <v>521</v>
      </c>
      <c r="C121" s="249">
        <f>+C122</f>
        <v>325200000</v>
      </c>
      <c r="D121" s="18"/>
      <c r="E121" s="293">
        <f t="shared" si="24"/>
        <v>325200000</v>
      </c>
      <c r="F121" s="249">
        <f>+F122</f>
        <v>325200000</v>
      </c>
      <c r="G121" s="18"/>
      <c r="H121" s="7"/>
    </row>
    <row r="122" spans="1:8">
      <c r="A122" s="280"/>
      <c r="B122" s="343" t="s">
        <v>522</v>
      </c>
      <c r="C122" s="29">
        <v>325200000</v>
      </c>
      <c r="D122" s="18"/>
      <c r="E122" s="18">
        <f t="shared" si="24"/>
        <v>325200000</v>
      </c>
      <c r="F122" s="29">
        <v>325200000</v>
      </c>
      <c r="G122" s="18"/>
      <c r="H122" s="7"/>
    </row>
    <row r="123" spans="1:8">
      <c r="A123" s="280">
        <v>4</v>
      </c>
      <c r="B123" s="340" t="s">
        <v>523</v>
      </c>
      <c r="C123" s="249">
        <f>+C124</f>
        <v>361700000</v>
      </c>
      <c r="D123" s="18"/>
      <c r="E123" s="293">
        <f t="shared" si="24"/>
        <v>361700000</v>
      </c>
      <c r="F123" s="249">
        <f>+F124</f>
        <v>361700000</v>
      </c>
      <c r="G123" s="18"/>
      <c r="H123" s="7"/>
    </row>
    <row r="124" spans="1:8" ht="31.5">
      <c r="A124" s="280"/>
      <c r="B124" s="344" t="s">
        <v>524</v>
      </c>
      <c r="C124" s="29">
        <v>361700000</v>
      </c>
      <c r="D124" s="18"/>
      <c r="E124" s="18">
        <f t="shared" si="24"/>
        <v>361700000</v>
      </c>
      <c r="F124" s="29">
        <v>361700000</v>
      </c>
      <c r="G124" s="18"/>
      <c r="H124" s="7"/>
    </row>
    <row r="125" spans="1:8">
      <c r="A125" s="280">
        <v>5</v>
      </c>
      <c r="B125" s="340" t="s">
        <v>525</v>
      </c>
      <c r="C125" s="249">
        <f>+C126</f>
        <v>397700000</v>
      </c>
      <c r="D125" s="18"/>
      <c r="E125" s="293">
        <f t="shared" si="24"/>
        <v>397700000</v>
      </c>
      <c r="F125" s="249">
        <f>+F126</f>
        <v>397700000</v>
      </c>
      <c r="G125" s="18"/>
      <c r="H125" s="7"/>
    </row>
    <row r="126" spans="1:8" ht="47.25">
      <c r="A126" s="280"/>
      <c r="B126" s="345" t="s">
        <v>526</v>
      </c>
      <c r="C126" s="29">
        <v>397700000</v>
      </c>
      <c r="D126" s="18"/>
      <c r="E126" s="18">
        <f t="shared" si="24"/>
        <v>397700000</v>
      </c>
      <c r="F126" s="29">
        <v>397700000</v>
      </c>
      <c r="G126" s="18"/>
      <c r="H126" s="7"/>
    </row>
    <row r="127" spans="1:8">
      <c r="A127" s="280">
        <v>6</v>
      </c>
      <c r="B127" s="340" t="s">
        <v>527</v>
      </c>
      <c r="C127" s="249">
        <f>+C128+C129</f>
        <v>361600000</v>
      </c>
      <c r="D127" s="18"/>
      <c r="E127" s="249">
        <f>+E128+E129</f>
        <v>361600000</v>
      </c>
      <c r="F127" s="249">
        <f>+F128+F129</f>
        <v>361600000</v>
      </c>
      <c r="G127" s="18"/>
      <c r="H127" s="7"/>
    </row>
    <row r="128" spans="1:8" ht="31.5">
      <c r="A128" s="280"/>
      <c r="B128" s="345" t="s">
        <v>528</v>
      </c>
      <c r="C128" s="29">
        <v>300000000</v>
      </c>
      <c r="D128" s="18"/>
      <c r="E128" s="18">
        <f t="shared" si="24"/>
        <v>300000000</v>
      </c>
      <c r="F128" s="29">
        <v>300000000</v>
      </c>
      <c r="G128" s="18"/>
      <c r="H128" s="7"/>
    </row>
    <row r="129" spans="1:8">
      <c r="A129" s="280"/>
      <c r="B129" s="346" t="s">
        <v>529</v>
      </c>
      <c r="C129" s="29">
        <v>61600000</v>
      </c>
      <c r="D129" s="18"/>
      <c r="E129" s="18">
        <f t="shared" si="24"/>
        <v>61600000</v>
      </c>
      <c r="F129" s="29">
        <v>61600000</v>
      </c>
      <c r="G129" s="18"/>
      <c r="H129" s="7"/>
    </row>
    <row r="130" spans="1:8">
      <c r="A130" s="280">
        <v>7</v>
      </c>
      <c r="B130" s="340" t="s">
        <v>530</v>
      </c>
      <c r="C130" s="249">
        <f>+C131</f>
        <v>397700000</v>
      </c>
      <c r="D130" s="18"/>
      <c r="E130" s="249">
        <f>+E131</f>
        <v>397700000</v>
      </c>
      <c r="F130" s="249">
        <f>+F131</f>
        <v>397700000</v>
      </c>
      <c r="G130" s="18"/>
      <c r="H130" s="7"/>
    </row>
    <row r="131" spans="1:8">
      <c r="A131" s="280"/>
      <c r="B131" s="347" t="s">
        <v>531</v>
      </c>
      <c r="C131" s="29">
        <v>397700000</v>
      </c>
      <c r="D131" s="18"/>
      <c r="E131" s="18">
        <f t="shared" si="24"/>
        <v>397700000</v>
      </c>
      <c r="F131" s="29">
        <v>397700000</v>
      </c>
      <c r="G131" s="18"/>
      <c r="H131" s="7"/>
    </row>
    <row r="132" spans="1:8">
      <c r="A132" s="280">
        <v>8</v>
      </c>
      <c r="B132" s="340" t="s">
        <v>532</v>
      </c>
      <c r="C132" s="249">
        <f>+C133</f>
        <v>361600000</v>
      </c>
      <c r="D132" s="18"/>
      <c r="E132" s="249">
        <f>+E133</f>
        <v>361600000</v>
      </c>
      <c r="F132" s="249">
        <f>+F133</f>
        <v>361600000</v>
      </c>
      <c r="G132" s="18"/>
      <c r="H132" s="7"/>
    </row>
    <row r="133" spans="1:8" ht="47.25">
      <c r="A133" s="280"/>
      <c r="B133" s="348" t="s">
        <v>533</v>
      </c>
      <c r="C133" s="29">
        <v>361600000</v>
      </c>
      <c r="D133" s="18"/>
      <c r="E133" s="18">
        <f t="shared" si="24"/>
        <v>361600000</v>
      </c>
      <c r="F133" s="29">
        <v>361600000</v>
      </c>
      <c r="G133" s="18"/>
      <c r="H133" s="7"/>
    </row>
    <row r="134" spans="1:8">
      <c r="A134" s="280">
        <v>9</v>
      </c>
      <c r="B134" s="340" t="s">
        <v>534</v>
      </c>
      <c r="C134" s="249">
        <f>+C135</f>
        <v>361600000</v>
      </c>
      <c r="D134" s="18"/>
      <c r="E134" s="249">
        <f>+E135</f>
        <v>361600000</v>
      </c>
      <c r="F134" s="249">
        <f>+F135</f>
        <v>361600000</v>
      </c>
      <c r="G134" s="18"/>
      <c r="H134" s="7"/>
    </row>
    <row r="135" spans="1:8" ht="31.5">
      <c r="A135" s="280"/>
      <c r="B135" s="349" t="s">
        <v>535</v>
      </c>
      <c r="C135" s="29">
        <v>361600000</v>
      </c>
      <c r="D135" s="18"/>
      <c r="E135" s="18">
        <f t="shared" si="24"/>
        <v>361600000</v>
      </c>
      <c r="F135" s="29">
        <v>361600000</v>
      </c>
      <c r="G135" s="18"/>
      <c r="H135" s="7"/>
    </row>
    <row r="136" spans="1:8">
      <c r="A136" s="280">
        <v>10</v>
      </c>
      <c r="B136" s="340" t="s">
        <v>536</v>
      </c>
      <c r="C136" s="249">
        <f>+C137+C138</f>
        <v>397800000</v>
      </c>
      <c r="D136" s="18"/>
      <c r="E136" s="249">
        <f>+E137+E138</f>
        <v>397800000</v>
      </c>
      <c r="F136" s="249">
        <f>+F137+F138</f>
        <v>397800000</v>
      </c>
      <c r="G136" s="18"/>
      <c r="H136" s="7"/>
    </row>
    <row r="137" spans="1:8" ht="31.5">
      <c r="A137" s="280"/>
      <c r="B137" s="350" t="s">
        <v>537</v>
      </c>
      <c r="C137" s="29">
        <v>100000000</v>
      </c>
      <c r="D137" s="18"/>
      <c r="E137" s="18">
        <f t="shared" si="24"/>
        <v>100000000</v>
      </c>
      <c r="F137" s="29">
        <v>100000000</v>
      </c>
      <c r="G137" s="18"/>
      <c r="H137" s="7"/>
    </row>
    <row r="138" spans="1:8" ht="31.5">
      <c r="A138" s="280"/>
      <c r="B138" s="351" t="s">
        <v>538</v>
      </c>
      <c r="C138" s="29">
        <v>297800000</v>
      </c>
      <c r="D138" s="18"/>
      <c r="E138" s="18">
        <f t="shared" si="24"/>
        <v>297800000</v>
      </c>
      <c r="F138" s="29">
        <v>297800000</v>
      </c>
      <c r="G138" s="18"/>
      <c r="H138" s="7"/>
    </row>
    <row r="139" spans="1:8">
      <c r="A139" s="280">
        <v>11</v>
      </c>
      <c r="B139" s="340" t="s">
        <v>539</v>
      </c>
      <c r="C139" s="249">
        <f>+C140</f>
        <v>361500000</v>
      </c>
      <c r="D139" s="18"/>
      <c r="E139" s="249">
        <f>+E140</f>
        <v>361500000</v>
      </c>
      <c r="F139" s="249">
        <f>+F140</f>
        <v>361500000</v>
      </c>
      <c r="G139" s="18"/>
      <c r="H139" s="7"/>
    </row>
    <row r="140" spans="1:8" ht="31.5">
      <c r="A140" s="280"/>
      <c r="B140" s="352" t="s">
        <v>540</v>
      </c>
      <c r="C140" s="29">
        <v>361500000</v>
      </c>
      <c r="D140" s="18"/>
      <c r="E140" s="18">
        <f t="shared" si="24"/>
        <v>361500000</v>
      </c>
      <c r="F140" s="29">
        <v>361500000</v>
      </c>
      <c r="G140" s="18"/>
      <c r="H140" s="7"/>
    </row>
    <row r="141" spans="1:8">
      <c r="A141" s="280">
        <v>12</v>
      </c>
      <c r="B141" s="340" t="s">
        <v>541</v>
      </c>
      <c r="C141" s="293">
        <f>+C142+C143+C144</f>
        <v>361700000</v>
      </c>
      <c r="D141" s="18"/>
      <c r="E141" s="293">
        <f>+E142+E143+E144</f>
        <v>361700000</v>
      </c>
      <c r="F141" s="293">
        <f>+F142+F143+F144</f>
        <v>361700000</v>
      </c>
      <c r="G141" s="18"/>
      <c r="H141" s="7"/>
    </row>
    <row r="142" spans="1:8">
      <c r="A142" s="280"/>
      <c r="B142" s="353" t="s">
        <v>542</v>
      </c>
      <c r="C142" s="29">
        <v>61700000</v>
      </c>
      <c r="D142" s="18"/>
      <c r="E142" s="18">
        <f t="shared" si="24"/>
        <v>61700000</v>
      </c>
      <c r="F142" s="29">
        <v>61700000</v>
      </c>
      <c r="G142" s="18"/>
      <c r="H142" s="7"/>
    </row>
    <row r="143" spans="1:8" ht="31.5">
      <c r="A143" s="280"/>
      <c r="B143" s="351" t="s">
        <v>543</v>
      </c>
      <c r="C143" s="29">
        <v>150000000</v>
      </c>
      <c r="D143" s="18"/>
      <c r="E143" s="18">
        <f t="shared" si="24"/>
        <v>150000000</v>
      </c>
      <c r="F143" s="29">
        <v>150000000</v>
      </c>
      <c r="G143" s="18"/>
      <c r="H143" s="7"/>
    </row>
    <row r="144" spans="1:8" ht="31.5">
      <c r="A144" s="280"/>
      <c r="B144" s="354" t="s">
        <v>544</v>
      </c>
      <c r="C144" s="29">
        <v>150000000</v>
      </c>
      <c r="D144" s="18"/>
      <c r="E144" s="18">
        <f t="shared" si="24"/>
        <v>150000000</v>
      </c>
      <c r="F144" s="29">
        <v>150000000</v>
      </c>
      <c r="G144" s="18"/>
      <c r="H144" s="7"/>
    </row>
    <row r="145" spans="1:8">
      <c r="A145" s="280">
        <v>13</v>
      </c>
      <c r="B145" s="340" t="s">
        <v>545</v>
      </c>
      <c r="C145" s="293">
        <f t="shared" ref="C145" si="25">+C146+C147+C148</f>
        <v>162600000</v>
      </c>
      <c r="D145" s="18"/>
      <c r="E145" s="293">
        <f>+E146+E147+E148</f>
        <v>162600000</v>
      </c>
      <c r="F145" s="293">
        <f t="shared" ref="F145" si="26">+F146+F147+F148</f>
        <v>162600000</v>
      </c>
      <c r="G145" s="18"/>
      <c r="H145" s="7"/>
    </row>
    <row r="146" spans="1:8" ht="31.5">
      <c r="A146" s="280"/>
      <c r="B146" s="355" t="s">
        <v>546</v>
      </c>
      <c r="C146" s="29">
        <v>54200000</v>
      </c>
      <c r="D146" s="18"/>
      <c r="E146" s="18">
        <f t="shared" si="24"/>
        <v>54200000</v>
      </c>
      <c r="F146" s="29">
        <v>54200000</v>
      </c>
      <c r="G146" s="18"/>
      <c r="H146" s="7"/>
    </row>
    <row r="147" spans="1:8" ht="31.5">
      <c r="A147" s="280"/>
      <c r="B147" s="356" t="s">
        <v>547</v>
      </c>
      <c r="C147" s="29">
        <v>54200000</v>
      </c>
      <c r="D147" s="18"/>
      <c r="E147" s="18">
        <f t="shared" si="24"/>
        <v>54200000</v>
      </c>
      <c r="F147" s="29">
        <v>54200000</v>
      </c>
      <c r="G147" s="18"/>
      <c r="H147" s="7"/>
    </row>
    <row r="148" spans="1:8" ht="31.5">
      <c r="A148" s="280"/>
      <c r="B148" s="351" t="s">
        <v>548</v>
      </c>
      <c r="C148" s="29">
        <v>54200000</v>
      </c>
      <c r="D148" s="18"/>
      <c r="E148" s="18">
        <f t="shared" si="24"/>
        <v>54200000</v>
      </c>
      <c r="F148" s="29">
        <v>54200000</v>
      </c>
      <c r="G148" s="18"/>
      <c r="H148" s="7"/>
    </row>
    <row r="149" spans="1:8">
      <c r="A149" s="280">
        <v>14</v>
      </c>
      <c r="B149" s="340" t="s">
        <v>549</v>
      </c>
      <c r="C149" s="293">
        <f t="shared" ref="C149" si="27">+C150+C151</f>
        <v>361600000</v>
      </c>
      <c r="D149" s="18"/>
      <c r="E149" s="293">
        <f>+E150+E151</f>
        <v>361600000</v>
      </c>
      <c r="F149" s="293">
        <f t="shared" ref="F149" si="28">+F150+F151</f>
        <v>361600000</v>
      </c>
      <c r="G149" s="18"/>
      <c r="H149" s="7"/>
    </row>
    <row r="150" spans="1:8">
      <c r="A150" s="280"/>
      <c r="B150" s="352" t="s">
        <v>550</v>
      </c>
      <c r="C150" s="29">
        <v>161600000</v>
      </c>
      <c r="D150" s="18"/>
      <c r="E150" s="18">
        <f t="shared" si="24"/>
        <v>161600000</v>
      </c>
      <c r="F150" s="29">
        <v>161600000</v>
      </c>
      <c r="G150" s="18"/>
      <c r="H150" s="7"/>
    </row>
    <row r="151" spans="1:8" ht="31.5">
      <c r="A151" s="280"/>
      <c r="B151" s="357" t="s">
        <v>551</v>
      </c>
      <c r="C151" s="29">
        <v>200000000</v>
      </c>
      <c r="D151" s="18"/>
      <c r="E151" s="18">
        <f t="shared" si="24"/>
        <v>200000000</v>
      </c>
      <c r="F151" s="29">
        <v>200000000</v>
      </c>
      <c r="G151" s="18"/>
      <c r="H151" s="7"/>
    </row>
    <row r="152" spans="1:8">
      <c r="A152" s="280">
        <v>15</v>
      </c>
      <c r="B152" s="340" t="s">
        <v>552</v>
      </c>
      <c r="C152" s="293">
        <f>SUM(C153:C155)</f>
        <v>162600000</v>
      </c>
      <c r="D152" s="18"/>
      <c r="E152" s="293">
        <f>SUM(E153:E155)</f>
        <v>162600000</v>
      </c>
      <c r="F152" s="293">
        <f>SUM(F153:F155)</f>
        <v>162600000</v>
      </c>
      <c r="G152" s="18"/>
      <c r="H152" s="7"/>
    </row>
    <row r="153" spans="1:8">
      <c r="A153" s="280"/>
      <c r="B153" s="358" t="s">
        <v>1053</v>
      </c>
      <c r="C153" s="29">
        <v>54200000</v>
      </c>
      <c r="D153" s="18"/>
      <c r="E153" s="18">
        <f t="shared" si="24"/>
        <v>54200000</v>
      </c>
      <c r="F153" s="29">
        <v>54200000</v>
      </c>
      <c r="G153" s="18"/>
      <c r="H153" s="7"/>
    </row>
    <row r="154" spans="1:8">
      <c r="A154" s="280"/>
      <c r="B154" s="358" t="s">
        <v>1054</v>
      </c>
      <c r="C154" s="29">
        <v>54200000</v>
      </c>
      <c r="D154" s="18"/>
      <c r="E154" s="18">
        <f t="shared" si="24"/>
        <v>54200000</v>
      </c>
      <c r="F154" s="29">
        <v>54200000</v>
      </c>
      <c r="G154" s="18"/>
      <c r="H154" s="7"/>
    </row>
    <row r="155" spans="1:8">
      <c r="A155" s="280"/>
      <c r="B155" s="358" t="s">
        <v>1055</v>
      </c>
      <c r="C155" s="29">
        <v>54200000</v>
      </c>
      <c r="D155" s="18"/>
      <c r="E155" s="18">
        <f t="shared" si="24"/>
        <v>54200000</v>
      </c>
      <c r="F155" s="29">
        <v>54200000</v>
      </c>
      <c r="G155" s="18"/>
      <c r="H155" s="7"/>
    </row>
    <row r="156" spans="1:8">
      <c r="A156" s="280">
        <v>16</v>
      </c>
      <c r="B156" s="340" t="s">
        <v>553</v>
      </c>
      <c r="C156" s="293">
        <f>+C157</f>
        <v>54200000</v>
      </c>
      <c r="D156" s="18"/>
      <c r="E156" s="293">
        <f>+E157</f>
        <v>54200000</v>
      </c>
      <c r="F156" s="293">
        <f>+F157</f>
        <v>54200000</v>
      </c>
      <c r="G156" s="18"/>
      <c r="H156" s="7"/>
    </row>
    <row r="157" spans="1:8">
      <c r="A157" s="280"/>
      <c r="B157" s="341" t="s">
        <v>554</v>
      </c>
      <c r="C157" s="29">
        <v>54200000</v>
      </c>
      <c r="D157" s="18"/>
      <c r="E157" s="18">
        <f t="shared" si="24"/>
        <v>54200000</v>
      </c>
      <c r="F157" s="29">
        <v>54200000</v>
      </c>
      <c r="G157" s="18"/>
      <c r="H157" s="7"/>
    </row>
    <row r="158" spans="1:8">
      <c r="A158" s="280">
        <v>17</v>
      </c>
      <c r="B158" s="340" t="s">
        <v>555</v>
      </c>
      <c r="C158" s="293">
        <f>+C159</f>
        <v>361600000</v>
      </c>
      <c r="D158" s="18"/>
      <c r="E158" s="293">
        <f>+E159</f>
        <v>361600000</v>
      </c>
      <c r="F158" s="293">
        <f>+F159</f>
        <v>361600000</v>
      </c>
      <c r="G158" s="18"/>
      <c r="H158" s="7"/>
    </row>
    <row r="159" spans="1:8" ht="31.5">
      <c r="A159" s="280"/>
      <c r="B159" s="349" t="s">
        <v>556</v>
      </c>
      <c r="C159" s="29">
        <v>361600000</v>
      </c>
      <c r="D159" s="18"/>
      <c r="E159" s="18">
        <f t="shared" si="24"/>
        <v>361600000</v>
      </c>
      <c r="F159" s="29">
        <v>361600000</v>
      </c>
      <c r="G159" s="18"/>
      <c r="H159" s="7"/>
    </row>
    <row r="160" spans="1:8" ht="19.5" customHeight="1">
      <c r="A160" s="245" t="s">
        <v>74</v>
      </c>
      <c r="B160" s="246" t="s">
        <v>81</v>
      </c>
      <c r="C160" s="247">
        <f>C161+C164+C168+C171+C178+C181+C183+C187+C189</f>
        <v>5006556600</v>
      </c>
      <c r="D160" s="247">
        <f>D161+D164+D168+D171+D178+D181+D183+D187+D189</f>
        <v>0</v>
      </c>
      <c r="E160" s="247">
        <f>E161+E164+E168+E171+E178+E181+E183+E187+E189</f>
        <v>5006556600</v>
      </c>
      <c r="F160" s="247">
        <f>F161+F164+F168+F171+F178+F181+F183+F187+F189</f>
        <v>4954785900</v>
      </c>
      <c r="G160" s="247">
        <f>G161+G164+G168+G171+G178+G181+G183+G187+G189</f>
        <v>51770700</v>
      </c>
      <c r="H160" s="246"/>
    </row>
    <row r="161" spans="1:9" s="235" customFormat="1">
      <c r="A161" s="49">
        <v>1</v>
      </c>
      <c r="B161" s="414" t="s">
        <v>557</v>
      </c>
      <c r="C161" s="270">
        <f>C162+C163</f>
        <v>700000000</v>
      </c>
      <c r="D161" s="270">
        <f t="shared" ref="D161:G161" si="29">D162+D163</f>
        <v>0</v>
      </c>
      <c r="E161" s="270">
        <f t="shared" si="29"/>
        <v>700000000</v>
      </c>
      <c r="F161" s="270">
        <f t="shared" si="29"/>
        <v>648229300</v>
      </c>
      <c r="G161" s="270">
        <f t="shared" si="29"/>
        <v>51770700</v>
      </c>
      <c r="H161" s="415"/>
      <c r="I161" s="411"/>
    </row>
    <row r="162" spans="1:9" s="412" customFormat="1">
      <c r="A162" s="50"/>
      <c r="B162" s="30" t="s">
        <v>558</v>
      </c>
      <c r="C162" s="416">
        <v>500000000</v>
      </c>
      <c r="D162" s="51"/>
      <c r="E162" s="51">
        <f>F162+G162</f>
        <v>500000000</v>
      </c>
      <c r="F162" s="51">
        <v>448229300</v>
      </c>
      <c r="G162" s="51">
        <v>51770700</v>
      </c>
      <c r="H162" s="417"/>
    </row>
    <row r="163" spans="1:9" s="412" customFormat="1">
      <c r="A163" s="50"/>
      <c r="B163" s="30" t="s">
        <v>904</v>
      </c>
      <c r="C163" s="416">
        <v>200000000</v>
      </c>
      <c r="D163" s="51"/>
      <c r="E163" s="51">
        <f t="shared" ref="E163:E190" si="30">F163+G163</f>
        <v>200000000</v>
      </c>
      <c r="F163" s="51">
        <f t="shared" ref="F163:F190" si="31">C163</f>
        <v>200000000</v>
      </c>
      <c r="G163" s="51"/>
      <c r="H163" s="417"/>
    </row>
    <row r="164" spans="1:9" s="235" customFormat="1">
      <c r="A164" s="49">
        <v>2</v>
      </c>
      <c r="B164" s="33" t="s">
        <v>559</v>
      </c>
      <c r="C164" s="270">
        <f>C165+C166+C167</f>
        <v>530000000</v>
      </c>
      <c r="D164" s="270">
        <f t="shared" ref="D164:G164" si="32">D165+D166+D167</f>
        <v>0</v>
      </c>
      <c r="E164" s="270">
        <f t="shared" si="32"/>
        <v>530000000</v>
      </c>
      <c r="F164" s="270">
        <f t="shared" si="32"/>
        <v>530000000</v>
      </c>
      <c r="G164" s="270">
        <f t="shared" si="32"/>
        <v>0</v>
      </c>
      <c r="H164" s="415"/>
      <c r="I164" s="411"/>
    </row>
    <row r="165" spans="1:9" s="412" customFormat="1" ht="31.5">
      <c r="A165" s="50"/>
      <c r="B165" s="418" t="s">
        <v>905</v>
      </c>
      <c r="C165" s="416">
        <v>200000000</v>
      </c>
      <c r="D165" s="51"/>
      <c r="E165" s="51">
        <f t="shared" si="30"/>
        <v>200000000</v>
      </c>
      <c r="F165" s="51">
        <f>C165</f>
        <v>200000000</v>
      </c>
      <c r="G165" s="51"/>
      <c r="H165" s="417"/>
    </row>
    <row r="166" spans="1:9" s="412" customFormat="1">
      <c r="A166" s="50"/>
      <c r="B166" s="419" t="s">
        <v>906</v>
      </c>
      <c r="C166" s="416">
        <v>180000000</v>
      </c>
      <c r="D166" s="51"/>
      <c r="E166" s="51">
        <f t="shared" si="30"/>
        <v>180000000</v>
      </c>
      <c r="F166" s="51">
        <f t="shared" si="31"/>
        <v>180000000</v>
      </c>
      <c r="G166" s="51"/>
      <c r="H166" s="417"/>
    </row>
    <row r="167" spans="1:9" s="412" customFormat="1">
      <c r="A167" s="50"/>
      <c r="B167" s="419" t="s">
        <v>907</v>
      </c>
      <c r="C167" s="416">
        <v>150000000</v>
      </c>
      <c r="D167" s="51"/>
      <c r="E167" s="51">
        <f t="shared" si="30"/>
        <v>150000000</v>
      </c>
      <c r="F167" s="51">
        <f t="shared" si="31"/>
        <v>150000000</v>
      </c>
      <c r="G167" s="51"/>
      <c r="H167" s="417"/>
    </row>
    <row r="168" spans="1:9" s="235" customFormat="1">
      <c r="A168" s="49">
        <v>3</v>
      </c>
      <c r="B168" s="420" t="s">
        <v>560</v>
      </c>
      <c r="C168" s="270">
        <f>C169+C170</f>
        <v>1190000000</v>
      </c>
      <c r="D168" s="270">
        <f t="shared" ref="D168:G168" si="33">D169+D170</f>
        <v>0</v>
      </c>
      <c r="E168" s="270">
        <f t="shared" si="33"/>
        <v>1190000000</v>
      </c>
      <c r="F168" s="270">
        <f t="shared" si="33"/>
        <v>1190000000</v>
      </c>
      <c r="G168" s="270">
        <f t="shared" si="33"/>
        <v>0</v>
      </c>
      <c r="H168" s="415"/>
      <c r="I168" s="411"/>
    </row>
    <row r="169" spans="1:9" s="412" customFormat="1">
      <c r="A169" s="50"/>
      <c r="B169" s="30" t="s">
        <v>561</v>
      </c>
      <c r="C169" s="416">
        <v>990000000</v>
      </c>
      <c r="D169" s="51"/>
      <c r="E169" s="51">
        <f t="shared" si="30"/>
        <v>990000000</v>
      </c>
      <c r="F169" s="51">
        <f t="shared" si="31"/>
        <v>990000000</v>
      </c>
      <c r="G169" s="416"/>
      <c r="H169" s="417"/>
      <c r="I169" s="413"/>
    </row>
    <row r="170" spans="1:9" s="412" customFormat="1" ht="31.5">
      <c r="A170" s="50"/>
      <c r="B170" s="30" t="s">
        <v>562</v>
      </c>
      <c r="C170" s="416">
        <v>200000000</v>
      </c>
      <c r="D170" s="51"/>
      <c r="E170" s="51">
        <f t="shared" si="30"/>
        <v>200000000</v>
      </c>
      <c r="F170" s="51">
        <f t="shared" si="31"/>
        <v>200000000</v>
      </c>
      <c r="G170" s="51"/>
      <c r="H170" s="417"/>
    </row>
    <row r="171" spans="1:9" s="235" customFormat="1">
      <c r="A171" s="49">
        <v>4</v>
      </c>
      <c r="B171" s="33" t="s">
        <v>563</v>
      </c>
      <c r="C171" s="270">
        <f>SUM(C172:C177)</f>
        <v>1215000000</v>
      </c>
      <c r="D171" s="270">
        <f t="shared" ref="D171:G171" si="34">SUM(D172:D177)</f>
        <v>0</v>
      </c>
      <c r="E171" s="270">
        <f t="shared" si="34"/>
        <v>1215000000</v>
      </c>
      <c r="F171" s="270">
        <f t="shared" si="34"/>
        <v>1215000000</v>
      </c>
      <c r="G171" s="270">
        <f t="shared" si="34"/>
        <v>0</v>
      </c>
      <c r="H171" s="415"/>
      <c r="I171" s="411"/>
    </row>
    <row r="172" spans="1:9" s="412" customFormat="1">
      <c r="A172" s="50"/>
      <c r="B172" s="30" t="s">
        <v>564</v>
      </c>
      <c r="C172" s="416">
        <v>180000000</v>
      </c>
      <c r="D172" s="51"/>
      <c r="E172" s="51">
        <f t="shared" si="30"/>
        <v>180000000</v>
      </c>
      <c r="F172" s="51">
        <f t="shared" si="31"/>
        <v>180000000</v>
      </c>
      <c r="G172" s="51"/>
      <c r="H172" s="30"/>
    </row>
    <row r="173" spans="1:9" s="412" customFormat="1">
      <c r="A173" s="50"/>
      <c r="B173" s="30" t="s">
        <v>908</v>
      </c>
      <c r="C173" s="416">
        <v>135000000</v>
      </c>
      <c r="D173" s="51"/>
      <c r="E173" s="51">
        <f t="shared" si="30"/>
        <v>135000000</v>
      </c>
      <c r="F173" s="51">
        <f t="shared" si="31"/>
        <v>135000000</v>
      </c>
      <c r="G173" s="51"/>
      <c r="H173" s="417"/>
    </row>
    <row r="174" spans="1:9" s="412" customFormat="1" ht="31.5">
      <c r="A174" s="50"/>
      <c r="B174" s="30" t="s">
        <v>909</v>
      </c>
      <c r="C174" s="416">
        <v>300000000</v>
      </c>
      <c r="D174" s="51"/>
      <c r="E174" s="51">
        <f t="shared" si="30"/>
        <v>300000000</v>
      </c>
      <c r="F174" s="51">
        <f t="shared" si="31"/>
        <v>300000000</v>
      </c>
      <c r="G174" s="51"/>
      <c r="H174" s="417"/>
    </row>
    <row r="175" spans="1:9" s="412" customFormat="1">
      <c r="A175" s="50"/>
      <c r="B175" s="30" t="s">
        <v>910</v>
      </c>
      <c r="C175" s="416">
        <v>200000000</v>
      </c>
      <c r="D175" s="51"/>
      <c r="E175" s="51">
        <f t="shared" si="30"/>
        <v>200000000</v>
      </c>
      <c r="F175" s="51">
        <f t="shared" si="31"/>
        <v>200000000</v>
      </c>
      <c r="G175" s="51"/>
      <c r="H175" s="30"/>
    </row>
    <row r="176" spans="1:9" s="235" customFormat="1">
      <c r="A176" s="50"/>
      <c r="B176" s="30" t="s">
        <v>911</v>
      </c>
      <c r="C176" s="416">
        <v>200000000</v>
      </c>
      <c r="D176" s="269"/>
      <c r="E176" s="51">
        <f t="shared" si="30"/>
        <v>200000000</v>
      </c>
      <c r="F176" s="51">
        <f t="shared" si="31"/>
        <v>200000000</v>
      </c>
      <c r="G176" s="269"/>
      <c r="H176" s="415"/>
      <c r="I176" s="411"/>
    </row>
    <row r="177" spans="1:11" s="412" customFormat="1" ht="31.5">
      <c r="A177" s="50"/>
      <c r="B177" s="30" t="s">
        <v>912</v>
      </c>
      <c r="C177" s="416">
        <v>200000000</v>
      </c>
      <c r="D177" s="51"/>
      <c r="E177" s="51">
        <f t="shared" si="30"/>
        <v>200000000</v>
      </c>
      <c r="F177" s="51">
        <f t="shared" si="31"/>
        <v>200000000</v>
      </c>
      <c r="G177" s="51"/>
      <c r="H177" s="417"/>
    </row>
    <row r="178" spans="1:11" s="235" customFormat="1">
      <c r="A178" s="49">
        <v>5</v>
      </c>
      <c r="B178" s="33" t="s">
        <v>565</v>
      </c>
      <c r="C178" s="270">
        <f>C179+C180</f>
        <v>350000000</v>
      </c>
      <c r="D178" s="270">
        <f t="shared" ref="D178:G178" si="35">D179+D180</f>
        <v>0</v>
      </c>
      <c r="E178" s="270">
        <f t="shared" si="35"/>
        <v>350000000</v>
      </c>
      <c r="F178" s="270">
        <f t="shared" si="35"/>
        <v>350000000</v>
      </c>
      <c r="G178" s="270">
        <f t="shared" si="35"/>
        <v>0</v>
      </c>
      <c r="H178" s="415"/>
      <c r="I178" s="411"/>
    </row>
    <row r="179" spans="1:11" s="412" customFormat="1" ht="31.5">
      <c r="A179" s="50"/>
      <c r="B179" s="30" t="s">
        <v>913</v>
      </c>
      <c r="C179" s="416">
        <v>200000000</v>
      </c>
      <c r="D179" s="51"/>
      <c r="E179" s="51">
        <f t="shared" si="30"/>
        <v>200000000</v>
      </c>
      <c r="F179" s="51">
        <f t="shared" si="31"/>
        <v>200000000</v>
      </c>
      <c r="G179" s="51"/>
      <c r="H179" s="417"/>
    </row>
    <row r="180" spans="1:11" s="412" customFormat="1">
      <c r="A180" s="50"/>
      <c r="B180" s="30" t="s">
        <v>914</v>
      </c>
      <c r="C180" s="416">
        <v>150000000</v>
      </c>
      <c r="D180" s="51"/>
      <c r="E180" s="51">
        <f t="shared" si="30"/>
        <v>150000000</v>
      </c>
      <c r="F180" s="51">
        <f t="shared" si="31"/>
        <v>150000000</v>
      </c>
      <c r="G180" s="51"/>
      <c r="H180" s="417"/>
    </row>
    <row r="181" spans="1:11" s="235" customFormat="1">
      <c r="A181" s="49">
        <v>6</v>
      </c>
      <c r="B181" s="33" t="s">
        <v>725</v>
      </c>
      <c r="C181" s="270">
        <f>C182</f>
        <v>190000000</v>
      </c>
      <c r="D181" s="270">
        <f t="shared" ref="D181:G181" si="36">D182</f>
        <v>0</v>
      </c>
      <c r="E181" s="270">
        <f t="shared" si="36"/>
        <v>190000000</v>
      </c>
      <c r="F181" s="270">
        <f t="shared" si="36"/>
        <v>190000000</v>
      </c>
      <c r="G181" s="270">
        <f t="shared" si="36"/>
        <v>0</v>
      </c>
      <c r="H181" s="415"/>
    </row>
    <row r="182" spans="1:11" s="412" customFormat="1">
      <c r="A182" s="50"/>
      <c r="B182" s="30" t="s">
        <v>915</v>
      </c>
      <c r="C182" s="416">
        <v>190000000</v>
      </c>
      <c r="D182" s="51"/>
      <c r="E182" s="51">
        <f t="shared" si="30"/>
        <v>190000000</v>
      </c>
      <c r="F182" s="51">
        <f t="shared" si="31"/>
        <v>190000000</v>
      </c>
      <c r="G182" s="51"/>
      <c r="H182" s="417"/>
    </row>
    <row r="183" spans="1:11" s="235" customFormat="1">
      <c r="A183" s="49">
        <v>7</v>
      </c>
      <c r="B183" s="33" t="s">
        <v>729</v>
      </c>
      <c r="C183" s="270">
        <f>C184+C185+C186</f>
        <v>510000000</v>
      </c>
      <c r="D183" s="270">
        <f t="shared" ref="D183:G183" si="37">D184+D185+D186</f>
        <v>0</v>
      </c>
      <c r="E183" s="270">
        <f t="shared" si="37"/>
        <v>510000000</v>
      </c>
      <c r="F183" s="270">
        <f t="shared" si="37"/>
        <v>510000000</v>
      </c>
      <c r="G183" s="270">
        <f t="shared" si="37"/>
        <v>0</v>
      </c>
      <c r="H183" s="415"/>
    </row>
    <row r="184" spans="1:11" s="412" customFormat="1">
      <c r="A184" s="50"/>
      <c r="B184" s="30" t="s">
        <v>916</v>
      </c>
      <c r="C184" s="416">
        <v>200000000</v>
      </c>
      <c r="D184" s="51"/>
      <c r="E184" s="51">
        <f t="shared" si="30"/>
        <v>200000000</v>
      </c>
      <c r="F184" s="51">
        <f t="shared" si="31"/>
        <v>200000000</v>
      </c>
      <c r="G184" s="51"/>
      <c r="H184" s="417"/>
    </row>
    <row r="185" spans="1:11" s="412" customFormat="1" ht="31.5">
      <c r="A185" s="50"/>
      <c r="B185" s="271" t="s">
        <v>917</v>
      </c>
      <c r="C185" s="416">
        <v>210000000</v>
      </c>
      <c r="D185" s="51"/>
      <c r="E185" s="51">
        <f t="shared" si="30"/>
        <v>210000000</v>
      </c>
      <c r="F185" s="51">
        <f t="shared" si="31"/>
        <v>210000000</v>
      </c>
      <c r="G185" s="51"/>
      <c r="H185" s="417"/>
    </row>
    <row r="186" spans="1:11" s="412" customFormat="1" ht="31.5">
      <c r="A186" s="50"/>
      <c r="B186" s="271" t="s">
        <v>918</v>
      </c>
      <c r="C186" s="416">
        <v>100000000</v>
      </c>
      <c r="D186" s="51"/>
      <c r="E186" s="51">
        <f t="shared" si="30"/>
        <v>100000000</v>
      </c>
      <c r="F186" s="51">
        <f t="shared" si="31"/>
        <v>100000000</v>
      </c>
      <c r="G186" s="51"/>
      <c r="H186" s="417"/>
    </row>
    <row r="187" spans="1:11" s="235" customFormat="1">
      <c r="A187" s="49">
        <v>8</v>
      </c>
      <c r="B187" s="33" t="s">
        <v>739</v>
      </c>
      <c r="C187" s="270">
        <f>C188</f>
        <v>250000000</v>
      </c>
      <c r="D187" s="270">
        <f t="shared" ref="D187:G187" si="38">D188</f>
        <v>0</v>
      </c>
      <c r="E187" s="270">
        <f t="shared" si="38"/>
        <v>250000000</v>
      </c>
      <c r="F187" s="270">
        <f t="shared" si="38"/>
        <v>250000000</v>
      </c>
      <c r="G187" s="270">
        <f t="shared" si="38"/>
        <v>0</v>
      </c>
      <c r="H187" s="415"/>
    </row>
    <row r="188" spans="1:11" s="412" customFormat="1">
      <c r="A188" s="50"/>
      <c r="B188" s="30" t="s">
        <v>919</v>
      </c>
      <c r="C188" s="416">
        <v>250000000</v>
      </c>
      <c r="D188" s="51"/>
      <c r="E188" s="51">
        <f t="shared" si="30"/>
        <v>250000000</v>
      </c>
      <c r="F188" s="51">
        <f t="shared" si="31"/>
        <v>250000000</v>
      </c>
      <c r="G188" s="51"/>
      <c r="H188" s="417"/>
    </row>
    <row r="189" spans="1:11" s="235" customFormat="1">
      <c r="A189" s="49">
        <v>9</v>
      </c>
      <c r="B189" s="33" t="s">
        <v>920</v>
      </c>
      <c r="C189" s="270">
        <f>C190</f>
        <v>71556600</v>
      </c>
      <c r="D189" s="270">
        <f t="shared" ref="D189:G189" si="39">D190</f>
        <v>0</v>
      </c>
      <c r="E189" s="270">
        <f t="shared" si="39"/>
        <v>71556600</v>
      </c>
      <c r="F189" s="270">
        <f t="shared" si="39"/>
        <v>71556600</v>
      </c>
      <c r="G189" s="270">
        <f t="shared" si="39"/>
        <v>0</v>
      </c>
      <c r="H189" s="415"/>
    </row>
    <row r="190" spans="1:11" s="412" customFormat="1" ht="31.5">
      <c r="A190" s="50"/>
      <c r="B190" s="30" t="s">
        <v>921</v>
      </c>
      <c r="C190" s="416">
        <v>71556600</v>
      </c>
      <c r="D190" s="51"/>
      <c r="E190" s="51">
        <f t="shared" si="30"/>
        <v>71556600</v>
      </c>
      <c r="F190" s="51">
        <f t="shared" si="31"/>
        <v>71556600</v>
      </c>
      <c r="G190" s="51"/>
      <c r="H190" s="417"/>
      <c r="I190" s="413"/>
    </row>
    <row r="191" spans="1:11" s="234" customFormat="1">
      <c r="A191" s="245" t="s">
        <v>75</v>
      </c>
      <c r="B191" s="246" t="s">
        <v>346</v>
      </c>
      <c r="C191" s="247">
        <f>C192+C195+C199+C202+C205+C208+C214+C216+C219+C225+C229</f>
        <v>15753256596</v>
      </c>
      <c r="D191" s="247">
        <f t="shared" ref="D191:G191" si="40">D192+D195+D199+D202+D205+D208+D214+D216+D219+D225+D229</f>
        <v>0</v>
      </c>
      <c r="E191" s="247">
        <f t="shared" si="40"/>
        <v>15753256596</v>
      </c>
      <c r="F191" s="247">
        <f t="shared" si="40"/>
        <v>15753256596</v>
      </c>
      <c r="G191" s="247">
        <f t="shared" si="40"/>
        <v>0</v>
      </c>
      <c r="H191" s="247"/>
      <c r="I191" s="339"/>
      <c r="J191" s="339"/>
      <c r="K191" s="339"/>
    </row>
    <row r="192" spans="1:11" s="234" customFormat="1">
      <c r="A192" s="280">
        <v>1</v>
      </c>
      <c r="B192" s="396" t="s">
        <v>753</v>
      </c>
      <c r="C192" s="293">
        <f>SUM(C193:C194)</f>
        <v>1100000000</v>
      </c>
      <c r="D192" s="293">
        <f t="shared" ref="D192:G192" si="41">SUM(D193:D194)</f>
        <v>0</v>
      </c>
      <c r="E192" s="293">
        <f t="shared" si="41"/>
        <v>1100000000</v>
      </c>
      <c r="F192" s="293">
        <f t="shared" si="41"/>
        <v>1100000000</v>
      </c>
      <c r="G192" s="293">
        <f t="shared" si="41"/>
        <v>0</v>
      </c>
      <c r="H192" s="250"/>
      <c r="I192" s="339"/>
    </row>
    <row r="193" spans="1:9" ht="31.5">
      <c r="A193" s="5"/>
      <c r="B193" s="397" t="s">
        <v>775</v>
      </c>
      <c r="C193" s="18">
        <f>E193</f>
        <v>550000000</v>
      </c>
      <c r="D193" s="18"/>
      <c r="E193" s="18">
        <f>SUM(F193:G193)</f>
        <v>550000000</v>
      </c>
      <c r="F193" s="18">
        <v>550000000</v>
      </c>
      <c r="G193" s="18"/>
      <c r="H193" s="7"/>
    </row>
    <row r="194" spans="1:9" ht="31.5">
      <c r="A194" s="5"/>
      <c r="B194" s="397" t="s">
        <v>776</v>
      </c>
      <c r="C194" s="18">
        <f>E194</f>
        <v>550000000</v>
      </c>
      <c r="D194" s="18"/>
      <c r="E194" s="18">
        <f t="shared" ref="E194:E230" si="42">SUM(F194:G194)</f>
        <v>550000000</v>
      </c>
      <c r="F194" s="18">
        <v>550000000</v>
      </c>
      <c r="G194" s="18"/>
      <c r="H194" s="7"/>
      <c r="I194" s="31"/>
    </row>
    <row r="195" spans="1:9" s="234" customFormat="1">
      <c r="A195" s="280">
        <v>2</v>
      </c>
      <c r="B195" s="396" t="s">
        <v>757</v>
      </c>
      <c r="C195" s="293">
        <f>SUM(C196:C198)</f>
        <v>1400000000</v>
      </c>
      <c r="D195" s="293">
        <f t="shared" ref="D195:G195" si="43">SUM(D196:D198)</f>
        <v>0</v>
      </c>
      <c r="E195" s="293">
        <f t="shared" si="43"/>
        <v>1400000000</v>
      </c>
      <c r="F195" s="293">
        <f t="shared" si="43"/>
        <v>1400000000</v>
      </c>
      <c r="G195" s="293">
        <f t="shared" si="43"/>
        <v>0</v>
      </c>
      <c r="H195" s="250"/>
    </row>
    <row r="196" spans="1:9" s="234" customFormat="1">
      <c r="A196" s="280"/>
      <c r="B196" s="397" t="s">
        <v>777</v>
      </c>
      <c r="C196" s="18">
        <f>E196</f>
        <v>500000000</v>
      </c>
      <c r="D196" s="18"/>
      <c r="E196" s="18">
        <f>SUM(F196:G196)</f>
        <v>500000000</v>
      </c>
      <c r="F196" s="18">
        <v>500000000</v>
      </c>
      <c r="G196" s="293"/>
      <c r="H196" s="250"/>
    </row>
    <row r="197" spans="1:9" s="234" customFormat="1" ht="31.5">
      <c r="A197" s="280"/>
      <c r="B197" s="397" t="s">
        <v>778</v>
      </c>
      <c r="C197" s="18">
        <f t="shared" ref="C197:C198" si="44">E197</f>
        <v>450000000</v>
      </c>
      <c r="D197" s="18"/>
      <c r="E197" s="18">
        <f t="shared" si="42"/>
        <v>450000000</v>
      </c>
      <c r="F197" s="18">
        <v>450000000</v>
      </c>
      <c r="G197" s="293"/>
      <c r="H197" s="250"/>
    </row>
    <row r="198" spans="1:9" ht="31.5">
      <c r="A198" s="5"/>
      <c r="B198" s="397" t="s">
        <v>779</v>
      </c>
      <c r="C198" s="18">
        <f t="shared" si="44"/>
        <v>450000000</v>
      </c>
      <c r="D198" s="18"/>
      <c r="E198" s="18">
        <f t="shared" si="42"/>
        <v>450000000</v>
      </c>
      <c r="F198" s="18">
        <v>450000000</v>
      </c>
      <c r="G198" s="18"/>
      <c r="H198" s="7"/>
    </row>
    <row r="199" spans="1:9" s="234" customFormat="1">
      <c r="A199" s="280">
        <v>3</v>
      </c>
      <c r="B199" s="396" t="s">
        <v>759</v>
      </c>
      <c r="C199" s="293">
        <f>SUM(C200:C201)</f>
        <v>1550000000</v>
      </c>
      <c r="D199" s="293">
        <f t="shared" ref="D199:G199" si="45">SUM(D200:D201)</f>
        <v>0</v>
      </c>
      <c r="E199" s="293">
        <f t="shared" si="45"/>
        <v>1550000000</v>
      </c>
      <c r="F199" s="293">
        <f t="shared" si="45"/>
        <v>1550000000</v>
      </c>
      <c r="G199" s="293">
        <f t="shared" si="45"/>
        <v>0</v>
      </c>
      <c r="H199" s="250"/>
    </row>
    <row r="200" spans="1:9" s="234" customFormat="1">
      <c r="A200" s="280"/>
      <c r="B200" s="397" t="s">
        <v>780</v>
      </c>
      <c r="C200" s="18">
        <f>E200</f>
        <v>950000000</v>
      </c>
      <c r="D200" s="18"/>
      <c r="E200" s="18">
        <f t="shared" si="42"/>
        <v>950000000</v>
      </c>
      <c r="F200" s="18">
        <v>950000000</v>
      </c>
      <c r="G200" s="293"/>
      <c r="H200" s="250"/>
    </row>
    <row r="201" spans="1:9" s="234" customFormat="1">
      <c r="A201" s="280"/>
      <c r="B201" s="397" t="s">
        <v>781</v>
      </c>
      <c r="C201" s="18">
        <f>E201</f>
        <v>600000000</v>
      </c>
      <c r="D201" s="18"/>
      <c r="E201" s="18">
        <f t="shared" si="42"/>
        <v>600000000</v>
      </c>
      <c r="F201" s="18">
        <v>600000000</v>
      </c>
      <c r="G201" s="293"/>
      <c r="H201" s="250"/>
    </row>
    <row r="202" spans="1:9" s="234" customFormat="1">
      <c r="A202" s="280">
        <v>4</v>
      </c>
      <c r="B202" s="396" t="s">
        <v>767</v>
      </c>
      <c r="C202" s="293">
        <f>SUM(C203:C204)</f>
        <v>1450000000</v>
      </c>
      <c r="D202" s="293">
        <f t="shared" ref="D202:G202" si="46">SUM(D203:D204)</f>
        <v>0</v>
      </c>
      <c r="E202" s="293">
        <f t="shared" si="46"/>
        <v>1450000000</v>
      </c>
      <c r="F202" s="293">
        <f t="shared" si="46"/>
        <v>1450000000</v>
      </c>
      <c r="G202" s="293">
        <f t="shared" si="46"/>
        <v>0</v>
      </c>
      <c r="H202" s="250"/>
    </row>
    <row r="203" spans="1:9">
      <c r="A203" s="5"/>
      <c r="B203" s="397" t="s">
        <v>782</v>
      </c>
      <c r="C203" s="18">
        <f>E203</f>
        <v>900000000</v>
      </c>
      <c r="D203" s="18"/>
      <c r="E203" s="18">
        <f t="shared" si="42"/>
        <v>900000000</v>
      </c>
      <c r="F203" s="18">
        <v>900000000</v>
      </c>
      <c r="G203" s="18"/>
      <c r="H203" s="7"/>
    </row>
    <row r="204" spans="1:9" ht="31.5">
      <c r="A204" s="5"/>
      <c r="B204" s="397" t="s">
        <v>783</v>
      </c>
      <c r="C204" s="18">
        <f>E204</f>
        <v>550000000</v>
      </c>
      <c r="D204" s="18"/>
      <c r="E204" s="18">
        <f t="shared" si="42"/>
        <v>550000000</v>
      </c>
      <c r="F204" s="18">
        <v>550000000</v>
      </c>
      <c r="G204" s="18"/>
      <c r="H204" s="7"/>
    </row>
    <row r="205" spans="1:9" s="234" customFormat="1">
      <c r="A205" s="280">
        <v>5</v>
      </c>
      <c r="B205" s="396" t="s">
        <v>784</v>
      </c>
      <c r="C205" s="293">
        <f>SUM(C206:C207)</f>
        <v>800000000</v>
      </c>
      <c r="D205" s="293">
        <f t="shared" ref="D205:G205" si="47">SUM(D206:D207)</f>
        <v>0</v>
      </c>
      <c r="E205" s="293">
        <f t="shared" si="47"/>
        <v>800000000</v>
      </c>
      <c r="F205" s="293">
        <f t="shared" si="47"/>
        <v>800000000</v>
      </c>
      <c r="G205" s="293">
        <f t="shared" si="47"/>
        <v>0</v>
      </c>
      <c r="H205" s="250"/>
    </row>
    <row r="206" spans="1:9">
      <c r="A206" s="5"/>
      <c r="B206" s="397" t="s">
        <v>785</v>
      </c>
      <c r="C206" s="18">
        <f>E206</f>
        <v>400000000</v>
      </c>
      <c r="D206" s="18"/>
      <c r="E206" s="18">
        <f t="shared" si="42"/>
        <v>400000000</v>
      </c>
      <c r="F206" s="18">
        <v>400000000</v>
      </c>
      <c r="G206" s="18"/>
      <c r="H206" s="7"/>
    </row>
    <row r="207" spans="1:9" ht="31.5">
      <c r="A207" s="5"/>
      <c r="B207" s="397" t="s">
        <v>786</v>
      </c>
      <c r="C207" s="18">
        <f>E207</f>
        <v>400000000</v>
      </c>
      <c r="D207" s="18"/>
      <c r="E207" s="18">
        <f t="shared" si="42"/>
        <v>400000000</v>
      </c>
      <c r="F207" s="18">
        <v>400000000</v>
      </c>
      <c r="G207" s="18"/>
      <c r="H207" s="7"/>
    </row>
    <row r="208" spans="1:9" s="234" customFormat="1">
      <c r="A208" s="280">
        <v>6</v>
      </c>
      <c r="B208" s="396" t="s">
        <v>762</v>
      </c>
      <c r="C208" s="293">
        <f>SUM(C209:C213)</f>
        <v>2650000000</v>
      </c>
      <c r="D208" s="293">
        <f t="shared" ref="D208:G208" si="48">SUM(D209:D213)</f>
        <v>0</v>
      </c>
      <c r="E208" s="293">
        <f t="shared" si="48"/>
        <v>2650000000</v>
      </c>
      <c r="F208" s="293">
        <f t="shared" si="48"/>
        <v>2650000000</v>
      </c>
      <c r="G208" s="293">
        <f t="shared" si="48"/>
        <v>0</v>
      </c>
      <c r="H208" s="250"/>
    </row>
    <row r="209" spans="1:8">
      <c r="A209" s="5"/>
      <c r="B209" s="397" t="s">
        <v>787</v>
      </c>
      <c r="C209" s="18">
        <f>E209</f>
        <v>750000000</v>
      </c>
      <c r="D209" s="18"/>
      <c r="E209" s="18">
        <f t="shared" si="42"/>
        <v>750000000</v>
      </c>
      <c r="F209" s="18">
        <v>750000000</v>
      </c>
      <c r="G209" s="18"/>
      <c r="H209" s="7"/>
    </row>
    <row r="210" spans="1:8">
      <c r="A210" s="5"/>
      <c r="B210" s="397" t="s">
        <v>788</v>
      </c>
      <c r="C210" s="18">
        <f t="shared" ref="C210:C213" si="49">E210</f>
        <v>450000000</v>
      </c>
      <c r="D210" s="18"/>
      <c r="E210" s="18">
        <f t="shared" si="42"/>
        <v>450000000</v>
      </c>
      <c r="F210" s="18">
        <v>450000000</v>
      </c>
      <c r="G210" s="18"/>
      <c r="H210" s="7"/>
    </row>
    <row r="211" spans="1:8" ht="47.25">
      <c r="A211" s="5"/>
      <c r="B211" s="232" t="s">
        <v>803</v>
      </c>
      <c r="C211" s="18">
        <f t="shared" si="49"/>
        <v>450000000</v>
      </c>
      <c r="D211" s="18"/>
      <c r="E211" s="18">
        <f t="shared" si="42"/>
        <v>450000000</v>
      </c>
      <c r="F211" s="18">
        <v>450000000</v>
      </c>
      <c r="G211" s="18"/>
      <c r="H211" s="7"/>
    </row>
    <row r="212" spans="1:8" ht="31.5">
      <c r="A212" s="5"/>
      <c r="B212" s="397" t="s">
        <v>789</v>
      </c>
      <c r="C212" s="18">
        <f t="shared" si="49"/>
        <v>500000000</v>
      </c>
      <c r="D212" s="18"/>
      <c r="E212" s="18">
        <f t="shared" si="42"/>
        <v>500000000</v>
      </c>
      <c r="F212" s="18">
        <v>500000000</v>
      </c>
      <c r="G212" s="18"/>
      <c r="H212" s="7"/>
    </row>
    <row r="213" spans="1:8" ht="31.5">
      <c r="A213" s="5"/>
      <c r="B213" s="397" t="s">
        <v>790</v>
      </c>
      <c r="C213" s="18">
        <f t="shared" si="49"/>
        <v>500000000</v>
      </c>
      <c r="D213" s="18"/>
      <c r="E213" s="18">
        <f t="shared" si="42"/>
        <v>500000000</v>
      </c>
      <c r="F213" s="18">
        <v>500000000</v>
      </c>
      <c r="G213" s="18"/>
      <c r="H213" s="7"/>
    </row>
    <row r="214" spans="1:8" s="234" customFormat="1">
      <c r="A214" s="280">
        <v>7</v>
      </c>
      <c r="B214" s="396" t="s">
        <v>763</v>
      </c>
      <c r="C214" s="293">
        <f>C215</f>
        <v>500000000</v>
      </c>
      <c r="D214" s="293">
        <f t="shared" ref="D214:G214" si="50">D215</f>
        <v>0</v>
      </c>
      <c r="E214" s="293">
        <f t="shared" si="50"/>
        <v>500000000</v>
      </c>
      <c r="F214" s="293">
        <f t="shared" si="50"/>
        <v>500000000</v>
      </c>
      <c r="G214" s="293">
        <f t="shared" si="50"/>
        <v>0</v>
      </c>
      <c r="H214" s="250"/>
    </row>
    <row r="215" spans="1:8" s="359" customFormat="1" ht="31.5">
      <c r="A215" s="398"/>
      <c r="B215" s="6" t="s">
        <v>791</v>
      </c>
      <c r="C215" s="289">
        <f>E215</f>
        <v>500000000</v>
      </c>
      <c r="D215" s="289"/>
      <c r="E215" s="18">
        <f t="shared" si="42"/>
        <v>500000000</v>
      </c>
      <c r="F215" s="289">
        <v>500000000</v>
      </c>
      <c r="G215" s="289"/>
      <c r="H215" s="6"/>
    </row>
    <row r="216" spans="1:8" s="234" customFormat="1">
      <c r="A216" s="280">
        <v>8</v>
      </c>
      <c r="B216" s="396" t="s">
        <v>792</v>
      </c>
      <c r="C216" s="293">
        <f>SUM(C217:C218)</f>
        <v>900000000</v>
      </c>
      <c r="D216" s="293">
        <f t="shared" ref="D216:G216" si="51">SUM(D217:D218)</f>
        <v>0</v>
      </c>
      <c r="E216" s="293">
        <f t="shared" si="51"/>
        <v>900000000</v>
      </c>
      <c r="F216" s="293">
        <f t="shared" si="51"/>
        <v>900000000</v>
      </c>
      <c r="G216" s="293">
        <f t="shared" si="51"/>
        <v>0</v>
      </c>
      <c r="H216" s="250"/>
    </row>
    <row r="217" spans="1:8">
      <c r="A217" s="5"/>
      <c r="B217" s="397" t="s">
        <v>793</v>
      </c>
      <c r="C217" s="18">
        <f>E217</f>
        <v>400000000</v>
      </c>
      <c r="D217" s="18"/>
      <c r="E217" s="18">
        <f t="shared" si="42"/>
        <v>400000000</v>
      </c>
      <c r="F217" s="18">
        <v>400000000</v>
      </c>
      <c r="G217" s="18"/>
      <c r="H217" s="7"/>
    </row>
    <row r="218" spans="1:8">
      <c r="A218" s="5"/>
      <c r="B218" s="397" t="s">
        <v>794</v>
      </c>
      <c r="C218" s="18">
        <f>E218</f>
        <v>500000000</v>
      </c>
      <c r="D218" s="18"/>
      <c r="E218" s="18">
        <f t="shared" si="42"/>
        <v>500000000</v>
      </c>
      <c r="F218" s="18">
        <v>500000000</v>
      </c>
      <c r="G218" s="18"/>
      <c r="H218" s="7"/>
    </row>
    <row r="219" spans="1:8" s="234" customFormat="1">
      <c r="A219" s="280">
        <v>9</v>
      </c>
      <c r="B219" s="396" t="s">
        <v>770</v>
      </c>
      <c r="C219" s="293">
        <f>SUM(C220:C224)</f>
        <v>2790000000</v>
      </c>
      <c r="D219" s="293">
        <f t="shared" ref="D219:G219" si="52">SUM(D220:D224)</f>
        <v>0</v>
      </c>
      <c r="E219" s="293">
        <f t="shared" si="52"/>
        <v>2790000000</v>
      </c>
      <c r="F219" s="293">
        <f t="shared" si="52"/>
        <v>2790000000</v>
      </c>
      <c r="G219" s="293">
        <f t="shared" si="52"/>
        <v>0</v>
      </c>
      <c r="H219" s="250"/>
    </row>
    <row r="220" spans="1:8" ht="31.5">
      <c r="A220" s="5"/>
      <c r="B220" s="232" t="s">
        <v>804</v>
      </c>
      <c r="C220" s="18">
        <f>E220</f>
        <v>550000000</v>
      </c>
      <c r="D220" s="18"/>
      <c r="E220" s="18">
        <f t="shared" si="42"/>
        <v>550000000</v>
      </c>
      <c r="F220" s="18">
        <v>550000000</v>
      </c>
      <c r="G220" s="18"/>
      <c r="H220" s="7"/>
    </row>
    <row r="221" spans="1:8" ht="31.5">
      <c r="A221" s="5"/>
      <c r="B221" s="397" t="s">
        <v>795</v>
      </c>
      <c r="C221" s="18">
        <f t="shared" ref="C221:C224" si="53">E221</f>
        <v>600000000</v>
      </c>
      <c r="D221" s="18"/>
      <c r="E221" s="18">
        <f t="shared" si="42"/>
        <v>600000000</v>
      </c>
      <c r="F221" s="18">
        <v>600000000</v>
      </c>
      <c r="G221" s="18"/>
      <c r="H221" s="7"/>
    </row>
    <row r="222" spans="1:8" ht="31.5">
      <c r="A222" s="5"/>
      <c r="B222" s="397" t="s">
        <v>796</v>
      </c>
      <c r="C222" s="18">
        <f t="shared" si="53"/>
        <v>580000000</v>
      </c>
      <c r="D222" s="18"/>
      <c r="E222" s="18">
        <f t="shared" si="42"/>
        <v>580000000</v>
      </c>
      <c r="F222" s="18">
        <v>580000000</v>
      </c>
      <c r="G222" s="18"/>
      <c r="H222" s="7"/>
    </row>
    <row r="223" spans="1:8">
      <c r="A223" s="5"/>
      <c r="B223" s="397" t="s">
        <v>797</v>
      </c>
      <c r="C223" s="18">
        <f t="shared" si="53"/>
        <v>500000000</v>
      </c>
      <c r="D223" s="18"/>
      <c r="E223" s="18">
        <f t="shared" si="42"/>
        <v>500000000</v>
      </c>
      <c r="F223" s="18">
        <v>500000000</v>
      </c>
      <c r="G223" s="18"/>
      <c r="H223" s="7"/>
    </row>
    <row r="224" spans="1:8">
      <c r="A224" s="5"/>
      <c r="B224" s="397" t="s">
        <v>798</v>
      </c>
      <c r="C224" s="18">
        <f t="shared" si="53"/>
        <v>560000000</v>
      </c>
      <c r="D224" s="18"/>
      <c r="E224" s="18">
        <f t="shared" si="42"/>
        <v>560000000</v>
      </c>
      <c r="F224" s="18">
        <v>560000000</v>
      </c>
      <c r="G224" s="18"/>
      <c r="H224" s="7"/>
    </row>
    <row r="225" spans="1:11" s="234" customFormat="1">
      <c r="A225" s="280">
        <v>10</v>
      </c>
      <c r="B225" s="396" t="s">
        <v>773</v>
      </c>
      <c r="C225" s="293">
        <f>SUM(C226:C228)</f>
        <v>1750000000</v>
      </c>
      <c r="D225" s="293">
        <f t="shared" ref="D225:G225" si="54">SUM(D226:D228)</f>
        <v>0</v>
      </c>
      <c r="E225" s="293">
        <f t="shared" si="54"/>
        <v>1750000000</v>
      </c>
      <c r="F225" s="293">
        <f t="shared" si="54"/>
        <v>1750000000</v>
      </c>
      <c r="G225" s="293">
        <f t="shared" si="54"/>
        <v>0</v>
      </c>
      <c r="H225" s="250"/>
    </row>
    <row r="226" spans="1:11" ht="31.5">
      <c r="A226" s="5"/>
      <c r="B226" s="232" t="s">
        <v>805</v>
      </c>
      <c r="C226" s="18">
        <f>E226</f>
        <v>450000000</v>
      </c>
      <c r="D226" s="18"/>
      <c r="E226" s="18">
        <f t="shared" si="42"/>
        <v>450000000</v>
      </c>
      <c r="F226" s="18">
        <v>450000000</v>
      </c>
      <c r="G226" s="18"/>
      <c r="H226" s="7"/>
    </row>
    <row r="227" spans="1:11">
      <c r="A227" s="5"/>
      <c r="B227" s="397" t="s">
        <v>799</v>
      </c>
      <c r="C227" s="18">
        <f>E227</f>
        <v>450000000</v>
      </c>
      <c r="D227" s="18"/>
      <c r="E227" s="18">
        <f t="shared" si="42"/>
        <v>450000000</v>
      </c>
      <c r="F227" s="18">
        <v>450000000</v>
      </c>
      <c r="G227" s="18"/>
      <c r="H227" s="7"/>
    </row>
    <row r="228" spans="1:11">
      <c r="A228" s="5"/>
      <c r="B228" s="397" t="s">
        <v>800</v>
      </c>
      <c r="C228" s="18">
        <f>E228</f>
        <v>850000000</v>
      </c>
      <c r="D228" s="18"/>
      <c r="E228" s="18">
        <f t="shared" si="42"/>
        <v>850000000</v>
      </c>
      <c r="F228" s="18">
        <v>850000000</v>
      </c>
      <c r="G228" s="18"/>
      <c r="H228" s="7"/>
    </row>
    <row r="229" spans="1:11" s="234" customFormat="1">
      <c r="A229" s="280">
        <v>11</v>
      </c>
      <c r="B229" s="250" t="s">
        <v>801</v>
      </c>
      <c r="C229" s="293">
        <f>C230</f>
        <v>863256596</v>
      </c>
      <c r="D229" s="293">
        <f t="shared" ref="D229:G229" si="55">D230</f>
        <v>0</v>
      </c>
      <c r="E229" s="293">
        <f t="shared" si="55"/>
        <v>863256596</v>
      </c>
      <c r="F229" s="293">
        <f t="shared" si="55"/>
        <v>863256596</v>
      </c>
      <c r="G229" s="293">
        <f t="shared" si="55"/>
        <v>0</v>
      </c>
      <c r="H229" s="250"/>
    </row>
    <row r="230" spans="1:11" ht="47.25">
      <c r="A230" s="5"/>
      <c r="B230" s="397" t="s">
        <v>802</v>
      </c>
      <c r="C230" s="18">
        <f>E230</f>
        <v>863256596</v>
      </c>
      <c r="D230" s="18"/>
      <c r="E230" s="18">
        <f t="shared" si="42"/>
        <v>863256596</v>
      </c>
      <c r="F230" s="18">
        <f>850000000+13256596</f>
        <v>863256596</v>
      </c>
      <c r="G230" s="18"/>
      <c r="H230" s="7"/>
    </row>
    <row r="231" spans="1:11" s="234" customFormat="1" ht="21" customHeight="1">
      <c r="A231" s="245" t="s">
        <v>345</v>
      </c>
      <c r="B231" s="246" t="s">
        <v>340</v>
      </c>
      <c r="C231" s="247">
        <f>C232+C236+C243+C250+C253+C262+C265+C270+C278</f>
        <v>16855394830</v>
      </c>
      <c r="D231" s="247">
        <f t="shared" ref="D231:G231" si="56">D232+D236+D243+D250+D253+D262+D265+D270+D278</f>
        <v>0</v>
      </c>
      <c r="E231" s="247">
        <f t="shared" si="56"/>
        <v>16855394830</v>
      </c>
      <c r="F231" s="247">
        <f t="shared" si="56"/>
        <v>16855394830</v>
      </c>
      <c r="G231" s="247">
        <f t="shared" si="56"/>
        <v>0</v>
      </c>
      <c r="H231" s="247"/>
      <c r="I231" s="339"/>
      <c r="J231" s="339"/>
      <c r="K231" s="339"/>
    </row>
    <row r="232" spans="1:11" ht="21.75" customHeight="1">
      <c r="A232" s="8">
        <v>1</v>
      </c>
      <c r="B232" s="248" t="s">
        <v>825</v>
      </c>
      <c r="C232" s="367">
        <f>SUM(C233:C235)</f>
        <v>1287543630</v>
      </c>
      <c r="D232" s="367">
        <f t="shared" ref="D232:F232" si="57">SUM(D233:D235)</f>
        <v>0</v>
      </c>
      <c r="E232" s="367">
        <f t="shared" si="57"/>
        <v>1287543630</v>
      </c>
      <c r="F232" s="367">
        <f t="shared" si="57"/>
        <v>1287543630</v>
      </c>
      <c r="G232" s="393"/>
      <c r="H232" s="7"/>
    </row>
    <row r="233" spans="1:11" ht="31.5">
      <c r="A233" s="5"/>
      <c r="B233" s="6" t="s">
        <v>826</v>
      </c>
      <c r="C233" s="393">
        <f>E233</f>
        <v>687543630</v>
      </c>
      <c r="D233" s="393"/>
      <c r="E233" s="370">
        <f>F233</f>
        <v>687543630</v>
      </c>
      <c r="F233" s="370">
        <f>700000000-12456370</f>
        <v>687543630</v>
      </c>
      <c r="G233" s="393"/>
      <c r="H233" s="7"/>
    </row>
    <row r="234" spans="1:11" ht="23.25" customHeight="1">
      <c r="A234" s="280"/>
      <c r="B234" s="6" t="s">
        <v>1051</v>
      </c>
      <c r="C234" s="393">
        <f t="shared" ref="C234:C282" si="58">E234</f>
        <v>400000000</v>
      </c>
      <c r="D234" s="394"/>
      <c r="E234" s="370">
        <f t="shared" ref="E234:E235" si="59">F234</f>
        <v>400000000</v>
      </c>
      <c r="F234" s="370">
        <v>400000000</v>
      </c>
      <c r="G234" s="394"/>
      <c r="H234" s="7"/>
    </row>
    <row r="235" spans="1:11" ht="21.75" customHeight="1">
      <c r="A235" s="5"/>
      <c r="B235" s="6" t="s">
        <v>1052</v>
      </c>
      <c r="C235" s="393">
        <f t="shared" si="58"/>
        <v>200000000</v>
      </c>
      <c r="D235" s="393"/>
      <c r="E235" s="370">
        <f t="shared" si="59"/>
        <v>200000000</v>
      </c>
      <c r="F235" s="370">
        <v>200000000</v>
      </c>
      <c r="G235" s="393"/>
      <c r="H235" s="7"/>
    </row>
    <row r="236" spans="1:11">
      <c r="A236" s="8">
        <v>2</v>
      </c>
      <c r="B236" s="250" t="s">
        <v>827</v>
      </c>
      <c r="C236" s="367">
        <f>SUM(C237:C242)</f>
        <v>1383207200</v>
      </c>
      <c r="D236" s="367">
        <f t="shared" ref="D236:F236" si="60">SUM(D237:D242)</f>
        <v>0</v>
      </c>
      <c r="E236" s="367">
        <f t="shared" si="60"/>
        <v>1383207200</v>
      </c>
      <c r="F236" s="367">
        <f t="shared" si="60"/>
        <v>1383207200</v>
      </c>
      <c r="G236" s="393"/>
      <c r="H236" s="7"/>
    </row>
    <row r="237" spans="1:11">
      <c r="A237" s="5"/>
      <c r="B237" s="6" t="s">
        <v>828</v>
      </c>
      <c r="C237" s="393">
        <f t="shared" si="58"/>
        <v>100000000</v>
      </c>
      <c r="D237" s="393"/>
      <c r="E237" s="371">
        <f>F237</f>
        <v>100000000</v>
      </c>
      <c r="F237" s="371">
        <v>100000000</v>
      </c>
      <c r="G237" s="393"/>
      <c r="H237" s="7"/>
    </row>
    <row r="238" spans="1:11">
      <c r="A238" s="5"/>
      <c r="B238" s="6" t="s">
        <v>829</v>
      </c>
      <c r="C238" s="393">
        <f t="shared" si="58"/>
        <v>500000000</v>
      </c>
      <c r="D238" s="393"/>
      <c r="E238" s="371">
        <f t="shared" ref="E238:E242" si="61">F238</f>
        <v>500000000</v>
      </c>
      <c r="F238" s="371">
        <v>500000000</v>
      </c>
      <c r="G238" s="393"/>
      <c r="H238" s="7"/>
    </row>
    <row r="239" spans="1:11">
      <c r="A239" s="280"/>
      <c r="B239" s="6" t="s">
        <v>830</v>
      </c>
      <c r="C239" s="393">
        <f t="shared" si="58"/>
        <v>250000000</v>
      </c>
      <c r="D239" s="394"/>
      <c r="E239" s="371">
        <f t="shared" si="61"/>
        <v>250000000</v>
      </c>
      <c r="F239" s="371">
        <v>250000000</v>
      </c>
      <c r="G239" s="394"/>
      <c r="H239" s="7"/>
    </row>
    <row r="240" spans="1:11">
      <c r="A240" s="5"/>
      <c r="B240" s="6" t="s">
        <v>831</v>
      </c>
      <c r="C240" s="393">
        <f t="shared" si="58"/>
        <v>300000000</v>
      </c>
      <c r="D240" s="393"/>
      <c r="E240" s="371">
        <f t="shared" si="61"/>
        <v>300000000</v>
      </c>
      <c r="F240" s="371">
        <v>300000000</v>
      </c>
      <c r="G240" s="393"/>
      <c r="H240" s="7"/>
    </row>
    <row r="241" spans="1:8">
      <c r="A241" s="5"/>
      <c r="B241" s="6" t="s">
        <v>832</v>
      </c>
      <c r="C241" s="393">
        <f t="shared" si="58"/>
        <v>100000000</v>
      </c>
      <c r="D241" s="393"/>
      <c r="E241" s="371">
        <f t="shared" si="61"/>
        <v>100000000</v>
      </c>
      <c r="F241" s="371">
        <v>100000000</v>
      </c>
      <c r="G241" s="393"/>
      <c r="H241" s="7"/>
    </row>
    <row r="242" spans="1:8">
      <c r="A242" s="5"/>
      <c r="B242" s="6" t="s">
        <v>833</v>
      </c>
      <c r="C242" s="393">
        <f t="shared" si="58"/>
        <v>133207200</v>
      </c>
      <c r="D242" s="393"/>
      <c r="E242" s="371">
        <f t="shared" si="61"/>
        <v>133207200</v>
      </c>
      <c r="F242" s="371">
        <v>133207200</v>
      </c>
      <c r="G242" s="393"/>
      <c r="H242" s="7"/>
    </row>
    <row r="243" spans="1:8" ht="21.75" customHeight="1">
      <c r="A243" s="8">
        <v>3</v>
      </c>
      <c r="B243" s="250" t="s">
        <v>834</v>
      </c>
      <c r="C243" s="367">
        <f>SUM(C244:C249)</f>
        <v>2150000000</v>
      </c>
      <c r="D243" s="367">
        <f t="shared" ref="D243:F243" si="62">SUM(D244:D249)</f>
        <v>0</v>
      </c>
      <c r="E243" s="367">
        <f t="shared" si="62"/>
        <v>2150000000</v>
      </c>
      <c r="F243" s="367">
        <f t="shared" si="62"/>
        <v>2150000000</v>
      </c>
      <c r="G243" s="393"/>
      <c r="H243" s="7"/>
    </row>
    <row r="244" spans="1:8" ht="31.5">
      <c r="A244" s="5"/>
      <c r="B244" s="6" t="s">
        <v>835</v>
      </c>
      <c r="C244" s="393">
        <f t="shared" si="58"/>
        <v>400000000</v>
      </c>
      <c r="D244" s="393"/>
      <c r="E244" s="370">
        <f>F244</f>
        <v>400000000</v>
      </c>
      <c r="F244" s="370">
        <v>400000000</v>
      </c>
      <c r="G244" s="393"/>
      <c r="H244" s="7"/>
    </row>
    <row r="245" spans="1:8">
      <c r="A245" s="5"/>
      <c r="B245" s="6" t="s">
        <v>836</v>
      </c>
      <c r="C245" s="393">
        <f t="shared" si="58"/>
        <v>400000000</v>
      </c>
      <c r="D245" s="393"/>
      <c r="E245" s="370">
        <f t="shared" ref="E245:E249" si="63">F245</f>
        <v>400000000</v>
      </c>
      <c r="F245" s="370">
        <v>400000000</v>
      </c>
      <c r="G245" s="393"/>
      <c r="H245" s="7"/>
    </row>
    <row r="246" spans="1:8">
      <c r="A246" s="5"/>
      <c r="B246" s="6" t="s">
        <v>837</v>
      </c>
      <c r="C246" s="393">
        <f t="shared" si="58"/>
        <v>700000000</v>
      </c>
      <c r="D246" s="393"/>
      <c r="E246" s="370">
        <f t="shared" si="63"/>
        <v>700000000</v>
      </c>
      <c r="F246" s="370">
        <v>700000000</v>
      </c>
      <c r="G246" s="393"/>
      <c r="H246" s="7"/>
    </row>
    <row r="247" spans="1:8">
      <c r="A247" s="5"/>
      <c r="B247" s="6" t="s">
        <v>838</v>
      </c>
      <c r="C247" s="393">
        <f t="shared" si="58"/>
        <v>200000000</v>
      </c>
      <c r="D247" s="393"/>
      <c r="E247" s="370">
        <f t="shared" si="63"/>
        <v>200000000</v>
      </c>
      <c r="F247" s="370">
        <v>200000000</v>
      </c>
      <c r="G247" s="393"/>
      <c r="H247" s="7"/>
    </row>
    <row r="248" spans="1:8">
      <c r="A248" s="5"/>
      <c r="B248" s="6" t="s">
        <v>839</v>
      </c>
      <c r="C248" s="393">
        <f t="shared" si="58"/>
        <v>250000000</v>
      </c>
      <c r="D248" s="393"/>
      <c r="E248" s="370">
        <f t="shared" si="63"/>
        <v>250000000</v>
      </c>
      <c r="F248" s="370">
        <v>250000000</v>
      </c>
      <c r="G248" s="393"/>
      <c r="H248" s="7"/>
    </row>
    <row r="249" spans="1:8">
      <c r="A249" s="5"/>
      <c r="B249" s="6" t="s">
        <v>1050</v>
      </c>
      <c r="C249" s="393">
        <f t="shared" si="58"/>
        <v>200000000</v>
      </c>
      <c r="D249" s="393"/>
      <c r="E249" s="370">
        <f t="shared" si="63"/>
        <v>200000000</v>
      </c>
      <c r="F249" s="370">
        <v>200000000</v>
      </c>
      <c r="G249" s="393"/>
      <c r="H249" s="7"/>
    </row>
    <row r="250" spans="1:8" ht="21" customHeight="1">
      <c r="A250" s="280">
        <v>4</v>
      </c>
      <c r="B250" s="250" t="s">
        <v>840</v>
      </c>
      <c r="C250" s="367">
        <f>SUM(C251:C252)</f>
        <v>1894000000</v>
      </c>
      <c r="D250" s="367">
        <f t="shared" ref="D250:F250" si="64">SUM(D251:D252)</f>
        <v>0</v>
      </c>
      <c r="E250" s="367">
        <f t="shared" si="64"/>
        <v>1894000000</v>
      </c>
      <c r="F250" s="367">
        <f t="shared" si="64"/>
        <v>1894000000</v>
      </c>
      <c r="G250" s="394"/>
      <c r="H250" s="7"/>
    </row>
    <row r="251" spans="1:8" ht="31.5">
      <c r="A251" s="5"/>
      <c r="B251" s="6" t="s">
        <v>841</v>
      </c>
      <c r="C251" s="393">
        <f t="shared" si="58"/>
        <v>947000000</v>
      </c>
      <c r="D251" s="393"/>
      <c r="E251" s="370">
        <f>F251</f>
        <v>947000000</v>
      </c>
      <c r="F251" s="370">
        <v>947000000</v>
      </c>
      <c r="G251" s="393"/>
      <c r="H251" s="7"/>
    </row>
    <row r="252" spans="1:8" ht="31.5">
      <c r="A252" s="5"/>
      <c r="B252" s="6" t="s">
        <v>842</v>
      </c>
      <c r="C252" s="393">
        <f t="shared" si="58"/>
        <v>947000000</v>
      </c>
      <c r="D252" s="393"/>
      <c r="E252" s="370">
        <f>F252</f>
        <v>947000000</v>
      </c>
      <c r="F252" s="370">
        <v>947000000</v>
      </c>
      <c r="G252" s="393"/>
      <c r="H252" s="7"/>
    </row>
    <row r="253" spans="1:8" ht="21.75" customHeight="1">
      <c r="A253" s="8">
        <v>5</v>
      </c>
      <c r="B253" s="250" t="s">
        <v>843</v>
      </c>
      <c r="C253" s="293">
        <f>SUM(C254:C261)</f>
        <v>1900000000</v>
      </c>
      <c r="D253" s="293">
        <f t="shared" ref="D253:F253" si="65">SUM(D254:D261)</f>
        <v>0</v>
      </c>
      <c r="E253" s="293">
        <f t="shared" si="65"/>
        <v>1900000000</v>
      </c>
      <c r="F253" s="293">
        <f t="shared" si="65"/>
        <v>1900000000</v>
      </c>
      <c r="G253" s="393"/>
      <c r="H253" s="7"/>
    </row>
    <row r="254" spans="1:8" ht="31.5">
      <c r="A254" s="5"/>
      <c r="B254" s="6" t="s">
        <v>844</v>
      </c>
      <c r="C254" s="393">
        <f t="shared" si="58"/>
        <v>300000000</v>
      </c>
      <c r="D254" s="393"/>
      <c r="E254" s="18">
        <f>F254</f>
        <v>300000000</v>
      </c>
      <c r="F254" s="18">
        <v>300000000</v>
      </c>
      <c r="G254" s="393"/>
      <c r="H254" s="7"/>
    </row>
    <row r="255" spans="1:8" ht="21" customHeight="1">
      <c r="A255" s="5"/>
      <c r="B255" s="6" t="s">
        <v>845</v>
      </c>
      <c r="C255" s="393">
        <f t="shared" si="58"/>
        <v>300000000</v>
      </c>
      <c r="D255" s="393"/>
      <c r="E255" s="18">
        <f t="shared" ref="E255:E261" si="66">F255</f>
        <v>300000000</v>
      </c>
      <c r="F255" s="18">
        <v>300000000</v>
      </c>
      <c r="G255" s="393"/>
      <c r="H255" s="7"/>
    </row>
    <row r="256" spans="1:8" ht="20.25" customHeight="1">
      <c r="A256" s="5"/>
      <c r="B256" s="6" t="s">
        <v>846</v>
      </c>
      <c r="C256" s="393">
        <f t="shared" si="58"/>
        <v>300000000</v>
      </c>
      <c r="D256" s="393"/>
      <c r="E256" s="18">
        <f t="shared" si="66"/>
        <v>300000000</v>
      </c>
      <c r="F256" s="18">
        <v>300000000</v>
      </c>
      <c r="G256" s="393"/>
      <c r="H256" s="7"/>
    </row>
    <row r="257" spans="1:8" ht="31.5">
      <c r="A257" s="5"/>
      <c r="B257" s="6" t="s">
        <v>847</v>
      </c>
      <c r="C257" s="393">
        <f t="shared" si="58"/>
        <v>300000000</v>
      </c>
      <c r="D257" s="393"/>
      <c r="E257" s="18">
        <f t="shared" si="66"/>
        <v>300000000</v>
      </c>
      <c r="F257" s="18">
        <v>300000000</v>
      </c>
      <c r="G257" s="393"/>
      <c r="H257" s="7"/>
    </row>
    <row r="258" spans="1:8" ht="31.5">
      <c r="A258" s="280"/>
      <c r="B258" s="6" t="s">
        <v>848</v>
      </c>
      <c r="C258" s="393">
        <f t="shared" si="58"/>
        <v>200000000</v>
      </c>
      <c r="D258" s="394"/>
      <c r="E258" s="18">
        <f t="shared" si="66"/>
        <v>200000000</v>
      </c>
      <c r="F258" s="18">
        <v>200000000</v>
      </c>
      <c r="G258" s="394"/>
      <c r="H258" s="7"/>
    </row>
    <row r="259" spans="1:8" ht="20.25" customHeight="1">
      <c r="A259" s="5"/>
      <c r="B259" s="6" t="s">
        <v>849</v>
      </c>
      <c r="C259" s="393">
        <f t="shared" si="58"/>
        <v>100000000</v>
      </c>
      <c r="D259" s="393"/>
      <c r="E259" s="18">
        <f t="shared" si="66"/>
        <v>100000000</v>
      </c>
      <c r="F259" s="18">
        <v>100000000</v>
      </c>
      <c r="G259" s="393"/>
      <c r="H259" s="7"/>
    </row>
    <row r="260" spans="1:8" ht="21.75" customHeight="1">
      <c r="A260" s="280"/>
      <c r="B260" s="6" t="s">
        <v>850</v>
      </c>
      <c r="C260" s="393">
        <f t="shared" si="58"/>
        <v>100000000</v>
      </c>
      <c r="D260" s="394"/>
      <c r="E260" s="18">
        <f t="shared" si="66"/>
        <v>100000000</v>
      </c>
      <c r="F260" s="18">
        <v>100000000</v>
      </c>
      <c r="G260" s="394"/>
      <c r="H260" s="7"/>
    </row>
    <row r="261" spans="1:8" ht="21" customHeight="1">
      <c r="A261" s="5"/>
      <c r="B261" s="6" t="s">
        <v>851</v>
      </c>
      <c r="C261" s="393">
        <f t="shared" si="58"/>
        <v>300000000</v>
      </c>
      <c r="D261" s="393"/>
      <c r="E261" s="18">
        <f t="shared" si="66"/>
        <v>300000000</v>
      </c>
      <c r="F261" s="18">
        <v>300000000</v>
      </c>
      <c r="G261" s="393"/>
      <c r="H261" s="7"/>
    </row>
    <row r="262" spans="1:8" ht="24" customHeight="1">
      <c r="A262" s="280">
        <v>6</v>
      </c>
      <c r="B262" s="250" t="s">
        <v>852</v>
      </c>
      <c r="C262" s="367">
        <f>SUM(C263:C264)</f>
        <v>850000000</v>
      </c>
      <c r="D262" s="367">
        <f t="shared" ref="D262:F262" si="67">SUM(D263:D264)</f>
        <v>0</v>
      </c>
      <c r="E262" s="367">
        <f t="shared" si="67"/>
        <v>850000000</v>
      </c>
      <c r="F262" s="367">
        <f t="shared" si="67"/>
        <v>850000000</v>
      </c>
      <c r="G262" s="394"/>
      <c r="H262" s="7"/>
    </row>
    <row r="263" spans="1:8" ht="31.5">
      <c r="A263" s="5"/>
      <c r="B263" s="6" t="s">
        <v>853</v>
      </c>
      <c r="C263" s="393">
        <f t="shared" si="58"/>
        <v>350000000</v>
      </c>
      <c r="D263" s="393"/>
      <c r="E263" s="368">
        <f>F263</f>
        <v>350000000</v>
      </c>
      <c r="F263" s="368">
        <v>350000000</v>
      </c>
      <c r="G263" s="393"/>
      <c r="H263" s="7"/>
    </row>
    <row r="264" spans="1:8" ht="31.5">
      <c r="A264" s="280"/>
      <c r="B264" s="22" t="s">
        <v>854</v>
      </c>
      <c r="C264" s="393">
        <f t="shared" si="58"/>
        <v>500000000</v>
      </c>
      <c r="D264" s="394"/>
      <c r="E264" s="368">
        <f>F264</f>
        <v>500000000</v>
      </c>
      <c r="F264" s="369">
        <v>500000000</v>
      </c>
      <c r="G264" s="394"/>
      <c r="H264" s="7"/>
    </row>
    <row r="265" spans="1:8" ht="21" customHeight="1">
      <c r="A265" s="8">
        <v>7</v>
      </c>
      <c r="B265" s="250" t="s">
        <v>855</v>
      </c>
      <c r="C265" s="367">
        <f>SUM(C266:C269)</f>
        <v>1800000000</v>
      </c>
      <c r="D265" s="367">
        <f t="shared" ref="D265:F265" si="68">SUM(D266:D269)</f>
        <v>0</v>
      </c>
      <c r="E265" s="367">
        <f t="shared" si="68"/>
        <v>1800000000</v>
      </c>
      <c r="F265" s="367">
        <f t="shared" si="68"/>
        <v>1800000000</v>
      </c>
      <c r="G265" s="393"/>
      <c r="H265" s="7"/>
    </row>
    <row r="266" spans="1:8" ht="31.5">
      <c r="A266" s="8"/>
      <c r="B266" s="395" t="s">
        <v>856</v>
      </c>
      <c r="C266" s="393">
        <f t="shared" si="58"/>
        <v>500000000</v>
      </c>
      <c r="D266" s="394"/>
      <c r="E266" s="370">
        <f>F266</f>
        <v>500000000</v>
      </c>
      <c r="F266" s="370">
        <v>500000000</v>
      </c>
      <c r="G266" s="394"/>
      <c r="H266" s="7"/>
    </row>
    <row r="267" spans="1:8">
      <c r="A267" s="8"/>
      <c r="B267" s="395" t="s">
        <v>857</v>
      </c>
      <c r="C267" s="393">
        <f t="shared" si="58"/>
        <v>400000000</v>
      </c>
      <c r="D267" s="393"/>
      <c r="E267" s="370">
        <f t="shared" ref="E267:E269" si="69">F267</f>
        <v>400000000</v>
      </c>
      <c r="F267" s="370">
        <v>400000000</v>
      </c>
      <c r="G267" s="393"/>
      <c r="H267" s="7"/>
    </row>
    <row r="268" spans="1:8" ht="31.5">
      <c r="A268" s="8"/>
      <c r="B268" s="395" t="s">
        <v>858</v>
      </c>
      <c r="C268" s="393">
        <f t="shared" si="58"/>
        <v>600000000</v>
      </c>
      <c r="D268" s="393"/>
      <c r="E268" s="370">
        <f t="shared" si="69"/>
        <v>600000000</v>
      </c>
      <c r="F268" s="370">
        <v>600000000</v>
      </c>
      <c r="G268" s="393"/>
      <c r="H268" s="7"/>
    </row>
    <row r="269" spans="1:8" ht="31.5">
      <c r="A269" s="8"/>
      <c r="B269" s="395" t="s">
        <v>859</v>
      </c>
      <c r="C269" s="393">
        <f t="shared" si="58"/>
        <v>300000000</v>
      </c>
      <c r="D269" s="393"/>
      <c r="E269" s="370">
        <f t="shared" si="69"/>
        <v>300000000</v>
      </c>
      <c r="F269" s="370">
        <v>300000000</v>
      </c>
      <c r="G269" s="393"/>
      <c r="H269" s="7"/>
    </row>
    <row r="270" spans="1:8" ht="24" customHeight="1">
      <c r="A270" s="8">
        <v>8</v>
      </c>
      <c r="B270" s="250" t="s">
        <v>860</v>
      </c>
      <c r="C270" s="293">
        <f>SUM(C271:C277)</f>
        <v>3700000000</v>
      </c>
      <c r="D270" s="293">
        <f t="shared" ref="D270:F270" si="70">SUM(D271:D277)</f>
        <v>0</v>
      </c>
      <c r="E270" s="293">
        <f t="shared" si="70"/>
        <v>3700000000</v>
      </c>
      <c r="F270" s="293">
        <f t="shared" si="70"/>
        <v>3700000000</v>
      </c>
      <c r="G270" s="393"/>
      <c r="H270" s="7"/>
    </row>
    <row r="271" spans="1:8">
      <c r="A271" s="8"/>
      <c r="B271" s="6" t="s">
        <v>861</v>
      </c>
      <c r="C271" s="393">
        <f t="shared" si="58"/>
        <v>800000000</v>
      </c>
      <c r="D271" s="393"/>
      <c r="E271" s="18">
        <f>F271</f>
        <v>800000000</v>
      </c>
      <c r="F271" s="18">
        <v>800000000</v>
      </c>
      <c r="G271" s="393"/>
      <c r="H271" s="7"/>
    </row>
    <row r="272" spans="1:8" ht="18" customHeight="1">
      <c r="A272" s="8"/>
      <c r="B272" s="6" t="s">
        <v>862</v>
      </c>
      <c r="C272" s="393">
        <f t="shared" si="58"/>
        <v>800000000</v>
      </c>
      <c r="D272" s="293"/>
      <c r="E272" s="18">
        <f t="shared" ref="E272:E277" si="71">F272</f>
        <v>800000000</v>
      </c>
      <c r="F272" s="18">
        <v>800000000</v>
      </c>
      <c r="G272" s="293"/>
      <c r="H272" s="250"/>
    </row>
    <row r="273" spans="1:8">
      <c r="A273" s="8"/>
      <c r="B273" s="6" t="s">
        <v>863</v>
      </c>
      <c r="C273" s="393">
        <f t="shared" si="58"/>
        <v>200000000</v>
      </c>
      <c r="D273" s="379"/>
      <c r="E273" s="18">
        <f t="shared" si="71"/>
        <v>200000000</v>
      </c>
      <c r="F273" s="18">
        <v>200000000</v>
      </c>
      <c r="G273" s="379"/>
      <c r="H273" s="7"/>
    </row>
    <row r="274" spans="1:8" ht="31.5">
      <c r="A274" s="8"/>
      <c r="B274" s="6" t="s">
        <v>864</v>
      </c>
      <c r="C274" s="393">
        <f t="shared" si="58"/>
        <v>900000000</v>
      </c>
      <c r="D274" s="379"/>
      <c r="E274" s="18">
        <f t="shared" si="71"/>
        <v>900000000</v>
      </c>
      <c r="F274" s="18">
        <v>900000000</v>
      </c>
      <c r="G274" s="379"/>
      <c r="H274" s="7"/>
    </row>
    <row r="275" spans="1:8">
      <c r="A275" s="8"/>
      <c r="B275" s="6" t="s">
        <v>865</v>
      </c>
      <c r="C275" s="393">
        <f t="shared" si="58"/>
        <v>100000000</v>
      </c>
      <c r="D275" s="379"/>
      <c r="E275" s="18">
        <f t="shared" si="71"/>
        <v>100000000</v>
      </c>
      <c r="F275" s="18">
        <v>100000000</v>
      </c>
      <c r="G275" s="379"/>
      <c r="H275" s="7"/>
    </row>
    <row r="276" spans="1:8">
      <c r="A276" s="8"/>
      <c r="B276" s="6" t="s">
        <v>866</v>
      </c>
      <c r="C276" s="393">
        <f t="shared" si="58"/>
        <v>400000000</v>
      </c>
      <c r="D276" s="379"/>
      <c r="E276" s="18">
        <f t="shared" si="71"/>
        <v>400000000</v>
      </c>
      <c r="F276" s="18">
        <v>400000000</v>
      </c>
      <c r="G276" s="379"/>
      <c r="H276" s="7"/>
    </row>
    <row r="277" spans="1:8" ht="21" customHeight="1">
      <c r="A277" s="8"/>
      <c r="B277" s="6" t="s">
        <v>867</v>
      </c>
      <c r="C277" s="393">
        <f t="shared" si="58"/>
        <v>500000000</v>
      </c>
      <c r="D277" s="379"/>
      <c r="E277" s="18">
        <f t="shared" si="71"/>
        <v>500000000</v>
      </c>
      <c r="F277" s="18">
        <v>500000000</v>
      </c>
      <c r="G277" s="379"/>
      <c r="H277" s="7"/>
    </row>
    <row r="278" spans="1:8" ht="22.5" customHeight="1">
      <c r="A278" s="8">
        <v>9</v>
      </c>
      <c r="B278" s="250" t="s">
        <v>868</v>
      </c>
      <c r="C278" s="367">
        <f>SUM(C279:C282)</f>
        <v>1890644000</v>
      </c>
      <c r="D278" s="367">
        <f t="shared" ref="D278:F278" si="72">SUM(D279:D282)</f>
        <v>0</v>
      </c>
      <c r="E278" s="367">
        <f t="shared" si="72"/>
        <v>1890644000</v>
      </c>
      <c r="F278" s="367">
        <f t="shared" si="72"/>
        <v>1890644000</v>
      </c>
      <c r="G278" s="379"/>
      <c r="H278" s="7"/>
    </row>
    <row r="279" spans="1:8" ht="31.5">
      <c r="A279" s="5"/>
      <c r="B279" s="6" t="s">
        <v>1049</v>
      </c>
      <c r="C279" s="393">
        <f t="shared" si="58"/>
        <v>500000000</v>
      </c>
      <c r="D279" s="379"/>
      <c r="E279" s="370">
        <f>F279</f>
        <v>500000000</v>
      </c>
      <c r="F279" s="370">
        <v>500000000</v>
      </c>
      <c r="G279" s="379"/>
      <c r="H279" s="7"/>
    </row>
    <row r="280" spans="1:8" ht="31.5">
      <c r="A280" s="5"/>
      <c r="B280" s="6" t="s">
        <v>869</v>
      </c>
      <c r="C280" s="393">
        <f t="shared" si="58"/>
        <v>600000000</v>
      </c>
      <c r="D280" s="379"/>
      <c r="E280" s="370">
        <f t="shared" ref="E280:E282" si="73">F280</f>
        <v>600000000</v>
      </c>
      <c r="F280" s="370">
        <v>600000000</v>
      </c>
      <c r="G280" s="379"/>
      <c r="H280" s="7"/>
    </row>
    <row r="281" spans="1:8" ht="31.5">
      <c r="A281" s="5"/>
      <c r="B281" s="6" t="s">
        <v>870</v>
      </c>
      <c r="C281" s="393">
        <f t="shared" si="58"/>
        <v>490000000</v>
      </c>
      <c r="D281" s="379"/>
      <c r="E281" s="370">
        <f t="shared" si="73"/>
        <v>490000000</v>
      </c>
      <c r="F281" s="370">
        <v>490000000</v>
      </c>
      <c r="G281" s="379"/>
      <c r="H281" s="7"/>
    </row>
    <row r="282" spans="1:8" ht="31.5">
      <c r="A282" s="255"/>
      <c r="B282" s="256" t="s">
        <v>871</v>
      </c>
      <c r="C282" s="399">
        <f t="shared" si="58"/>
        <v>300644000</v>
      </c>
      <c r="D282" s="377"/>
      <c r="E282" s="372">
        <f t="shared" si="73"/>
        <v>300644000</v>
      </c>
      <c r="F282" s="372">
        <v>300644000</v>
      </c>
      <c r="G282" s="377"/>
      <c r="H282" s="363"/>
    </row>
  </sheetData>
  <mergeCells count="11">
    <mergeCell ref="A10:B10"/>
    <mergeCell ref="A2:H2"/>
    <mergeCell ref="A3:H3"/>
    <mergeCell ref="A6:A8"/>
    <mergeCell ref="B6:B8"/>
    <mergeCell ref="C6:C8"/>
    <mergeCell ref="D6:D8"/>
    <mergeCell ref="E6:G6"/>
    <mergeCell ref="H6:H8"/>
    <mergeCell ref="E7:E8"/>
    <mergeCell ref="F7:G7"/>
  </mergeCells>
  <pageMargins left="0.55118110236220474" right="0.31496062992125984" top="0.51181102362204722" bottom="0.51181102362204722" header="0.31496062992125984" footer="0.31496062992125984"/>
  <pageSetup paperSize="9" scale="81" fitToHeight="0" orientation="landscape" verticalDpi="0"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F269"/>
  <sheetViews>
    <sheetView workbookViewId="0">
      <selection activeCell="E9" sqref="E9"/>
    </sheetView>
  </sheetViews>
  <sheetFormatPr defaultColWidth="9" defaultRowHeight="15.75"/>
  <cols>
    <col min="1" max="1" width="6.75" style="1" customWidth="1"/>
    <col min="2" max="2" width="36.625" style="1" customWidth="1"/>
    <col min="3" max="5" width="18.5" style="1" customWidth="1"/>
    <col min="6" max="6" width="26.25" style="1" customWidth="1"/>
    <col min="7" max="8" width="16" style="1" customWidth="1"/>
    <col min="9" max="16384" width="9" style="1"/>
  </cols>
  <sheetData>
    <row r="1" spans="1:6">
      <c r="F1" s="241" t="s">
        <v>897</v>
      </c>
    </row>
    <row r="2" spans="1:6" ht="45" customHeight="1">
      <c r="A2" s="726" t="s">
        <v>567</v>
      </c>
      <c r="B2" s="727"/>
      <c r="C2" s="727"/>
      <c r="D2" s="727"/>
      <c r="E2" s="727"/>
      <c r="F2" s="727"/>
    </row>
    <row r="3" spans="1:6" ht="18" customHeight="1">
      <c r="A3" s="722" t="str">
        <f>'B6 TM tăng TDA1 DA4 DTTS'!A3:H3</f>
        <v>(Kèm theo Tờ trình số:                  /TTr-UBND ngày               /5/2024 của UBND tỉnh Bắc Kạn)</v>
      </c>
      <c r="B3" s="722"/>
      <c r="C3" s="722"/>
      <c r="D3" s="722"/>
      <c r="E3" s="722"/>
      <c r="F3" s="722"/>
    </row>
    <row r="5" spans="1:6">
      <c r="F5" s="242" t="s">
        <v>23</v>
      </c>
    </row>
    <row r="6" spans="1:6" ht="23.25" customHeight="1">
      <c r="A6" s="723" t="s">
        <v>1</v>
      </c>
      <c r="B6" s="724" t="s">
        <v>568</v>
      </c>
      <c r="C6" s="724" t="s">
        <v>569</v>
      </c>
      <c r="D6" s="724"/>
      <c r="E6" s="724"/>
      <c r="F6" s="724" t="s">
        <v>380</v>
      </c>
    </row>
    <row r="7" spans="1:6" ht="20.25" customHeight="1">
      <c r="A7" s="723"/>
      <c r="B7" s="724"/>
      <c r="C7" s="724" t="s">
        <v>10</v>
      </c>
      <c r="D7" s="724" t="s">
        <v>11</v>
      </c>
      <c r="E7" s="724"/>
      <c r="F7" s="724"/>
    </row>
    <row r="8" spans="1:6" ht="29.25" customHeight="1">
      <c r="A8" s="723"/>
      <c r="B8" s="724"/>
      <c r="C8" s="724"/>
      <c r="D8" s="233" t="str">
        <f>'B6 TM tăng TDA1 DA4 DTTS'!F8</f>
        <v>Ngân sách trung ương</v>
      </c>
      <c r="E8" s="233" t="str">
        <f>'B6 TM tăng TDA1 DA4 DTTS'!G8</f>
        <v>Ngân sách địa phương</v>
      </c>
      <c r="F8" s="724"/>
    </row>
    <row r="9" spans="1:6" s="13" customFormat="1" ht="15.75" customHeight="1">
      <c r="A9" s="409">
        <v>1</v>
      </c>
      <c r="B9" s="410">
        <v>2</v>
      </c>
      <c r="C9" s="409" t="s">
        <v>12</v>
      </c>
      <c r="D9" s="410">
        <v>4</v>
      </c>
      <c r="E9" s="409">
        <v>5</v>
      </c>
      <c r="F9" s="410">
        <v>6</v>
      </c>
    </row>
    <row r="10" spans="1:6" s="234" customFormat="1" ht="23.25" customHeight="1">
      <c r="A10" s="719" t="s">
        <v>25</v>
      </c>
      <c r="B10" s="719"/>
      <c r="C10" s="243">
        <f>C11+C52+C85+C134+C183+C214+C237</f>
        <v>20343857531</v>
      </c>
      <c r="D10" s="243">
        <f t="shared" ref="D10:E10" si="0">D11+D52+D85+D134+D183+D214+D237</f>
        <v>19369843504</v>
      </c>
      <c r="E10" s="243">
        <f t="shared" si="0"/>
        <v>974014027</v>
      </c>
      <c r="F10" s="244"/>
    </row>
    <row r="11" spans="1:6">
      <c r="A11" s="245" t="s">
        <v>8</v>
      </c>
      <c r="B11" s="246" t="s">
        <v>57</v>
      </c>
      <c r="C11" s="247">
        <f>C12+C15+C17+C20+C22+C25+C27+C30+C34+C36+C38+C40+C44+C46+C48+C50</f>
        <v>3050000000</v>
      </c>
      <c r="D11" s="247">
        <f t="shared" ref="D11:E11" si="1">D12+D15+D17+D20+D22+D25+D27+D30+D34+D36+D38+D40+D44+D46+D48+D50</f>
        <v>2905000000</v>
      </c>
      <c r="E11" s="247">
        <f t="shared" si="1"/>
        <v>145000000</v>
      </c>
      <c r="F11" s="246"/>
    </row>
    <row r="12" spans="1:6">
      <c r="A12" s="280">
        <v>1</v>
      </c>
      <c r="B12" s="285" t="s">
        <v>570</v>
      </c>
      <c r="C12" s="293">
        <f>SUM(C13:C14)</f>
        <v>242000000</v>
      </c>
      <c r="D12" s="293">
        <f t="shared" ref="D12:E12" si="2">SUM(D13:D14)</f>
        <v>230000000</v>
      </c>
      <c r="E12" s="293">
        <f t="shared" si="2"/>
        <v>12000000</v>
      </c>
      <c r="F12" s="7"/>
    </row>
    <row r="13" spans="1:6" ht="31.5">
      <c r="A13" s="5"/>
      <c r="B13" s="294" t="s">
        <v>571</v>
      </c>
      <c r="C13" s="18">
        <f>D13+E13</f>
        <v>120000000</v>
      </c>
      <c r="D13" s="29">
        <v>114100000</v>
      </c>
      <c r="E13" s="29">
        <v>5900000</v>
      </c>
      <c r="F13" s="7"/>
    </row>
    <row r="14" spans="1:6" ht="31.5">
      <c r="A14" s="5"/>
      <c r="B14" s="294" t="s">
        <v>572</v>
      </c>
      <c r="C14" s="18">
        <f t="shared" ref="C14:C51" si="3">D14+E14</f>
        <v>122000000</v>
      </c>
      <c r="D14" s="29">
        <v>115900000</v>
      </c>
      <c r="E14" s="29">
        <v>6100000</v>
      </c>
      <c r="F14" s="7"/>
    </row>
    <row r="15" spans="1:6">
      <c r="A15" s="280">
        <v>2</v>
      </c>
      <c r="B15" s="295" t="s">
        <v>573</v>
      </c>
      <c r="C15" s="293">
        <f>C16</f>
        <v>242000000</v>
      </c>
      <c r="D15" s="293">
        <f t="shared" ref="D15:E15" si="4">D16</f>
        <v>230000000</v>
      </c>
      <c r="E15" s="293">
        <f t="shared" si="4"/>
        <v>12000000</v>
      </c>
      <c r="F15" s="7"/>
    </row>
    <row r="16" spans="1:6" ht="31.5">
      <c r="A16" s="5"/>
      <c r="B16" s="296" t="s">
        <v>574</v>
      </c>
      <c r="C16" s="18">
        <f t="shared" si="3"/>
        <v>242000000</v>
      </c>
      <c r="D16" s="29">
        <v>230000000</v>
      </c>
      <c r="E16" s="29">
        <v>12000000</v>
      </c>
      <c r="F16" s="7"/>
    </row>
    <row r="17" spans="1:6">
      <c r="A17" s="280">
        <v>3</v>
      </c>
      <c r="B17" s="297" t="s">
        <v>575</v>
      </c>
      <c r="C17" s="293">
        <f>SUM(C18:C19)</f>
        <v>242000000</v>
      </c>
      <c r="D17" s="293">
        <f t="shared" ref="D17:E17" si="5">SUM(D18:D19)</f>
        <v>230000000</v>
      </c>
      <c r="E17" s="293">
        <f t="shared" si="5"/>
        <v>12000000</v>
      </c>
      <c r="F17" s="7"/>
    </row>
    <row r="18" spans="1:6" ht="31.5">
      <c r="A18" s="5"/>
      <c r="B18" s="6" t="s">
        <v>576</v>
      </c>
      <c r="C18" s="18">
        <f t="shared" si="3"/>
        <v>121000000</v>
      </c>
      <c r="D18" s="29">
        <v>115000000</v>
      </c>
      <c r="E18" s="29">
        <v>6000000</v>
      </c>
      <c r="F18" s="7"/>
    </row>
    <row r="19" spans="1:6" ht="31.5">
      <c r="A19" s="5"/>
      <c r="B19" s="6" t="s">
        <v>577</v>
      </c>
      <c r="C19" s="18">
        <f t="shared" si="3"/>
        <v>121000000</v>
      </c>
      <c r="D19" s="29">
        <v>115000000</v>
      </c>
      <c r="E19" s="29">
        <v>6000000</v>
      </c>
      <c r="F19" s="7"/>
    </row>
    <row r="20" spans="1:6">
      <c r="A20" s="280">
        <v>4</v>
      </c>
      <c r="B20" s="295" t="s">
        <v>578</v>
      </c>
      <c r="C20" s="293">
        <f>C21</f>
        <v>268000000</v>
      </c>
      <c r="D20" s="293">
        <f t="shared" ref="D20:E20" si="6">D21</f>
        <v>255000000</v>
      </c>
      <c r="E20" s="293">
        <f t="shared" si="6"/>
        <v>13000000</v>
      </c>
      <c r="F20" s="7"/>
    </row>
    <row r="21" spans="1:6" ht="31.5">
      <c r="A21" s="5"/>
      <c r="B21" s="294" t="s">
        <v>579</v>
      </c>
      <c r="C21" s="18">
        <f t="shared" si="3"/>
        <v>268000000</v>
      </c>
      <c r="D21" s="29">
        <v>255000000</v>
      </c>
      <c r="E21" s="29">
        <v>13000000</v>
      </c>
      <c r="F21" s="7"/>
    </row>
    <row r="22" spans="1:6">
      <c r="A22" s="280">
        <v>5</v>
      </c>
      <c r="B22" s="297" t="s">
        <v>580</v>
      </c>
      <c r="C22" s="293">
        <f>SUM(C23:C24)</f>
        <v>268000000</v>
      </c>
      <c r="D22" s="293">
        <f t="shared" ref="D22:E22" si="7">SUM(D23:D24)</f>
        <v>255000000</v>
      </c>
      <c r="E22" s="293">
        <f t="shared" si="7"/>
        <v>13000000</v>
      </c>
      <c r="F22" s="7"/>
    </row>
    <row r="23" spans="1:6" ht="31.5">
      <c r="A23" s="5"/>
      <c r="B23" s="6" t="s">
        <v>581</v>
      </c>
      <c r="C23" s="18">
        <f t="shared" si="3"/>
        <v>209000000</v>
      </c>
      <c r="D23" s="29">
        <v>196000000</v>
      </c>
      <c r="E23" s="29">
        <v>13000000</v>
      </c>
      <c r="F23" s="7"/>
    </row>
    <row r="24" spans="1:6" ht="31.5">
      <c r="A24" s="5"/>
      <c r="B24" s="6" t="s">
        <v>582</v>
      </c>
      <c r="C24" s="18">
        <f t="shared" si="3"/>
        <v>59000000</v>
      </c>
      <c r="D24" s="29">
        <v>59000000</v>
      </c>
      <c r="E24" s="29">
        <v>0</v>
      </c>
      <c r="F24" s="7"/>
    </row>
    <row r="25" spans="1:6">
      <c r="A25" s="280">
        <v>6</v>
      </c>
      <c r="B25" s="295" t="s">
        <v>583</v>
      </c>
      <c r="C25" s="293">
        <f>C26</f>
        <v>242000000</v>
      </c>
      <c r="D25" s="293">
        <f t="shared" ref="D25:E25" si="8">D26</f>
        <v>230000000</v>
      </c>
      <c r="E25" s="293">
        <f t="shared" si="8"/>
        <v>12000000</v>
      </c>
      <c r="F25" s="7"/>
    </row>
    <row r="26" spans="1:6">
      <c r="A26" s="5"/>
      <c r="B26" s="294" t="s">
        <v>584</v>
      </c>
      <c r="C26" s="18">
        <f t="shared" si="3"/>
        <v>242000000</v>
      </c>
      <c r="D26" s="29">
        <v>230000000</v>
      </c>
      <c r="E26" s="29">
        <v>12000000</v>
      </c>
      <c r="F26" s="7"/>
    </row>
    <row r="27" spans="1:6">
      <c r="A27" s="280">
        <v>7</v>
      </c>
      <c r="B27" s="297" t="s">
        <v>585</v>
      </c>
      <c r="C27" s="293">
        <f>SUM(C28:C29)</f>
        <v>242000000</v>
      </c>
      <c r="D27" s="293">
        <f t="shared" ref="D27:E27" si="9">SUM(D28:D29)</f>
        <v>230000000</v>
      </c>
      <c r="E27" s="293">
        <f t="shared" si="9"/>
        <v>12000000</v>
      </c>
      <c r="F27" s="7"/>
    </row>
    <row r="28" spans="1:6" ht="31.5">
      <c r="A28" s="5"/>
      <c r="B28" s="298" t="s">
        <v>586</v>
      </c>
      <c r="C28" s="18">
        <f t="shared" si="3"/>
        <v>100000000</v>
      </c>
      <c r="D28" s="29">
        <v>95000000</v>
      </c>
      <c r="E28" s="29">
        <v>5000000</v>
      </c>
      <c r="F28" s="7"/>
    </row>
    <row r="29" spans="1:6" ht="31.5">
      <c r="A29" s="5"/>
      <c r="B29" s="298" t="s">
        <v>587</v>
      </c>
      <c r="C29" s="18">
        <f t="shared" si="3"/>
        <v>142000000</v>
      </c>
      <c r="D29" s="29">
        <v>135000000</v>
      </c>
      <c r="E29" s="29">
        <v>7000000</v>
      </c>
      <c r="F29" s="7"/>
    </row>
    <row r="30" spans="1:6" s="234" customFormat="1">
      <c r="A30" s="280">
        <v>8</v>
      </c>
      <c r="B30" s="297" t="s">
        <v>588</v>
      </c>
      <c r="C30" s="293">
        <f>SUM(C31:C33)</f>
        <v>242000000</v>
      </c>
      <c r="D30" s="293">
        <f t="shared" ref="D30:E30" si="10">SUM(D31:D33)</f>
        <v>230000000</v>
      </c>
      <c r="E30" s="293">
        <f t="shared" si="10"/>
        <v>12000000</v>
      </c>
      <c r="F30" s="250"/>
    </row>
    <row r="31" spans="1:6">
      <c r="A31" s="5"/>
      <c r="B31" s="298" t="s">
        <v>589</v>
      </c>
      <c r="C31" s="18">
        <f t="shared" si="3"/>
        <v>122000000</v>
      </c>
      <c r="D31" s="299">
        <v>110000000</v>
      </c>
      <c r="E31" s="299">
        <v>12000000</v>
      </c>
      <c r="F31" s="7"/>
    </row>
    <row r="32" spans="1:6">
      <c r="A32" s="5"/>
      <c r="B32" s="298" t="s">
        <v>590</v>
      </c>
      <c r="C32" s="18">
        <f t="shared" si="3"/>
        <v>55000000</v>
      </c>
      <c r="D32" s="299">
        <v>55000000</v>
      </c>
      <c r="E32" s="299">
        <v>0</v>
      </c>
      <c r="F32" s="7"/>
    </row>
    <row r="33" spans="1:6">
      <c r="A33" s="5"/>
      <c r="B33" s="298" t="s">
        <v>591</v>
      </c>
      <c r="C33" s="18">
        <f t="shared" si="3"/>
        <v>65000000</v>
      </c>
      <c r="D33" s="299">
        <v>65000000</v>
      </c>
      <c r="E33" s="299">
        <v>0</v>
      </c>
      <c r="F33" s="7"/>
    </row>
    <row r="34" spans="1:6">
      <c r="A34" s="280">
        <v>9</v>
      </c>
      <c r="B34" s="295" t="s">
        <v>592</v>
      </c>
      <c r="C34" s="293">
        <f>C35</f>
        <v>215000000</v>
      </c>
      <c r="D34" s="293">
        <f t="shared" ref="D34:E34" si="11">D35</f>
        <v>205000000</v>
      </c>
      <c r="E34" s="293">
        <f t="shared" si="11"/>
        <v>10000000</v>
      </c>
      <c r="F34" s="7"/>
    </row>
    <row r="35" spans="1:6" ht="31.5">
      <c r="A35" s="5"/>
      <c r="B35" s="294" t="s">
        <v>593</v>
      </c>
      <c r="C35" s="18">
        <f t="shared" si="3"/>
        <v>215000000</v>
      </c>
      <c r="D35" s="300">
        <v>205000000</v>
      </c>
      <c r="E35" s="300">
        <v>10000000</v>
      </c>
      <c r="F35" s="7"/>
    </row>
    <row r="36" spans="1:6">
      <c r="A36" s="280">
        <v>10</v>
      </c>
      <c r="B36" s="295" t="s">
        <v>594</v>
      </c>
      <c r="C36" s="293">
        <f>C37</f>
        <v>215000000</v>
      </c>
      <c r="D36" s="293">
        <f t="shared" ref="D36:E36" si="12">D37</f>
        <v>205000000</v>
      </c>
      <c r="E36" s="293">
        <f t="shared" si="12"/>
        <v>10000000</v>
      </c>
      <c r="F36" s="7"/>
    </row>
    <row r="37" spans="1:6" ht="31.5">
      <c r="A37" s="5"/>
      <c r="B37" s="296" t="s">
        <v>595</v>
      </c>
      <c r="C37" s="18">
        <f t="shared" si="3"/>
        <v>215000000</v>
      </c>
      <c r="D37" s="301">
        <v>205000000</v>
      </c>
      <c r="E37" s="301">
        <v>10000000</v>
      </c>
      <c r="F37" s="7"/>
    </row>
    <row r="38" spans="1:6">
      <c r="A38" s="280">
        <v>11</v>
      </c>
      <c r="B38" s="295" t="s">
        <v>596</v>
      </c>
      <c r="C38" s="293">
        <f>C39</f>
        <v>150000000</v>
      </c>
      <c r="D38" s="293">
        <f t="shared" ref="D38:E38" si="13">D39</f>
        <v>144000000</v>
      </c>
      <c r="E38" s="293">
        <f t="shared" si="13"/>
        <v>6000000</v>
      </c>
      <c r="F38" s="7"/>
    </row>
    <row r="39" spans="1:6" ht="31.5">
      <c r="A39" s="5"/>
      <c r="B39" s="294" t="s">
        <v>597</v>
      </c>
      <c r="C39" s="18">
        <f t="shared" si="3"/>
        <v>150000000</v>
      </c>
      <c r="D39" s="29">
        <v>144000000</v>
      </c>
      <c r="E39" s="29">
        <v>6000000</v>
      </c>
      <c r="F39" s="7"/>
    </row>
    <row r="40" spans="1:6">
      <c r="A40" s="280">
        <v>12</v>
      </c>
      <c r="B40" s="295" t="s">
        <v>598</v>
      </c>
      <c r="C40" s="293">
        <f>SUM(C41:C43)</f>
        <v>146000000</v>
      </c>
      <c r="D40" s="293">
        <f t="shared" ref="D40:E40" si="14">SUM(D41:D43)</f>
        <v>139000000</v>
      </c>
      <c r="E40" s="293">
        <f t="shared" si="14"/>
        <v>7000000</v>
      </c>
      <c r="F40" s="7"/>
    </row>
    <row r="41" spans="1:6" ht="31.5">
      <c r="A41" s="252"/>
      <c r="B41" s="264" t="s">
        <v>599</v>
      </c>
      <c r="C41" s="18">
        <f t="shared" si="3"/>
        <v>60000000</v>
      </c>
      <c r="D41" s="254">
        <v>57000000</v>
      </c>
      <c r="E41" s="254">
        <v>3000000</v>
      </c>
      <c r="F41" s="7"/>
    </row>
    <row r="42" spans="1:6" ht="47.25">
      <c r="A42" s="252"/>
      <c r="B42" s="264" t="s">
        <v>600</v>
      </c>
      <c r="C42" s="18">
        <f>D42+E42</f>
        <v>56500000</v>
      </c>
      <c r="D42" s="254">
        <v>53500000</v>
      </c>
      <c r="E42" s="254">
        <v>3000000</v>
      </c>
      <c r="F42" s="7"/>
    </row>
    <row r="43" spans="1:6" ht="31.5">
      <c r="A43" s="252"/>
      <c r="B43" s="264" t="s">
        <v>601</v>
      </c>
      <c r="C43" s="18">
        <f t="shared" si="3"/>
        <v>29500000</v>
      </c>
      <c r="D43" s="254">
        <v>28500000</v>
      </c>
      <c r="E43" s="254">
        <v>1000000</v>
      </c>
      <c r="F43" s="7"/>
    </row>
    <row r="44" spans="1:6">
      <c r="A44" s="280">
        <v>13</v>
      </c>
      <c r="B44" s="297" t="s">
        <v>602</v>
      </c>
      <c r="C44" s="293">
        <f>C45</f>
        <v>96000000</v>
      </c>
      <c r="D44" s="293">
        <f t="shared" ref="D44:E44" si="15">D45</f>
        <v>92000000</v>
      </c>
      <c r="E44" s="293">
        <f t="shared" si="15"/>
        <v>4000000</v>
      </c>
      <c r="F44" s="7"/>
    </row>
    <row r="45" spans="1:6" ht="47.25">
      <c r="A45" s="5"/>
      <c r="B45" s="264" t="s">
        <v>603</v>
      </c>
      <c r="C45" s="18">
        <f t="shared" si="3"/>
        <v>96000000</v>
      </c>
      <c r="D45" s="29">
        <v>92000000</v>
      </c>
      <c r="E45" s="29">
        <v>4000000</v>
      </c>
      <c r="F45" s="7"/>
    </row>
    <row r="46" spans="1:6">
      <c r="A46" s="280">
        <v>14</v>
      </c>
      <c r="B46" s="297" t="s">
        <v>604</v>
      </c>
      <c r="C46" s="293">
        <f>C47</f>
        <v>48000000</v>
      </c>
      <c r="D46" s="293">
        <f t="shared" ref="D46:E46" si="16">D47</f>
        <v>46000000</v>
      </c>
      <c r="E46" s="293">
        <f t="shared" si="16"/>
        <v>2000000</v>
      </c>
      <c r="F46" s="7"/>
    </row>
    <row r="47" spans="1:6">
      <c r="A47" s="5"/>
      <c r="B47" s="6" t="s">
        <v>605</v>
      </c>
      <c r="C47" s="18">
        <f t="shared" ref="C47" si="17">D47+E47</f>
        <v>48000000</v>
      </c>
      <c r="D47" s="29">
        <v>46000000</v>
      </c>
      <c r="E47" s="29">
        <v>2000000</v>
      </c>
      <c r="F47" s="7"/>
    </row>
    <row r="48" spans="1:6">
      <c r="A48" s="280">
        <v>15</v>
      </c>
      <c r="B48" s="295" t="s">
        <v>606</v>
      </c>
      <c r="C48" s="293">
        <f>C49</f>
        <v>48000000</v>
      </c>
      <c r="D48" s="293">
        <f t="shared" ref="D48:E48" si="18">D49</f>
        <v>46000000</v>
      </c>
      <c r="E48" s="293">
        <f t="shared" si="18"/>
        <v>2000000</v>
      </c>
      <c r="F48" s="7"/>
    </row>
    <row r="49" spans="1:6" ht="31.5">
      <c r="A49" s="5"/>
      <c r="B49" s="6" t="s">
        <v>607</v>
      </c>
      <c r="C49" s="18">
        <f t="shared" si="3"/>
        <v>48000000</v>
      </c>
      <c r="D49" s="29">
        <v>46000000</v>
      </c>
      <c r="E49" s="29">
        <v>2000000</v>
      </c>
      <c r="F49" s="7"/>
    </row>
    <row r="50" spans="1:6">
      <c r="A50" s="280">
        <v>16</v>
      </c>
      <c r="B50" s="295" t="s">
        <v>608</v>
      </c>
      <c r="C50" s="293">
        <f>C51</f>
        <v>144000000</v>
      </c>
      <c r="D50" s="293">
        <f t="shared" ref="D50:E50" si="19">D51</f>
        <v>138000000</v>
      </c>
      <c r="E50" s="293">
        <f t="shared" si="19"/>
        <v>6000000</v>
      </c>
      <c r="F50" s="7"/>
    </row>
    <row r="51" spans="1:6" ht="31.5">
      <c r="A51" s="5"/>
      <c r="B51" s="294" t="s">
        <v>609</v>
      </c>
      <c r="C51" s="18">
        <f t="shared" si="3"/>
        <v>144000000</v>
      </c>
      <c r="D51" s="29">
        <v>138000000</v>
      </c>
      <c r="E51" s="29">
        <v>6000000</v>
      </c>
      <c r="F51" s="7"/>
    </row>
    <row r="52" spans="1:6">
      <c r="A52" s="245" t="s">
        <v>20</v>
      </c>
      <c r="B52" s="246" t="s">
        <v>30</v>
      </c>
      <c r="C52" s="247">
        <f>C53+C56</f>
        <v>2679000000</v>
      </c>
      <c r="D52" s="247">
        <f t="shared" ref="D52:E52" si="20">D53+D56</f>
        <v>2552000000</v>
      </c>
      <c r="E52" s="247">
        <f t="shared" si="20"/>
        <v>127000000</v>
      </c>
      <c r="F52" s="246"/>
    </row>
    <row r="53" spans="1:6" ht="31.5">
      <c r="A53" s="302" t="s">
        <v>28</v>
      </c>
      <c r="B53" s="303" t="s">
        <v>610</v>
      </c>
      <c r="C53" s="304">
        <f>C54</f>
        <v>304000000</v>
      </c>
      <c r="D53" s="304">
        <f t="shared" ref="D53:E54" si="21">D54</f>
        <v>290000000</v>
      </c>
      <c r="E53" s="304">
        <f t="shared" si="21"/>
        <v>14000000</v>
      </c>
      <c r="F53" s="305"/>
    </row>
    <row r="54" spans="1:6">
      <c r="A54" s="280">
        <v>1</v>
      </c>
      <c r="B54" s="250" t="s">
        <v>611</v>
      </c>
      <c r="C54" s="293">
        <f>C55</f>
        <v>304000000</v>
      </c>
      <c r="D54" s="293">
        <f t="shared" si="21"/>
        <v>290000000</v>
      </c>
      <c r="E54" s="293">
        <f t="shared" si="21"/>
        <v>14000000</v>
      </c>
      <c r="F54" s="7"/>
    </row>
    <row r="55" spans="1:6" ht="31.5">
      <c r="A55" s="19" t="s">
        <v>32</v>
      </c>
      <c r="B55" s="6" t="s">
        <v>612</v>
      </c>
      <c r="C55" s="18">
        <f>SUM(D55:E55)</f>
        <v>304000000</v>
      </c>
      <c r="D55" s="18">
        <v>290000000</v>
      </c>
      <c r="E55" s="18">
        <v>14000000</v>
      </c>
      <c r="F55" s="7"/>
    </row>
    <row r="56" spans="1:6">
      <c r="A56" s="302" t="s">
        <v>29</v>
      </c>
      <c r="B56" s="306" t="s">
        <v>613</v>
      </c>
      <c r="C56" s="304">
        <f>C57+C59+C61+C63+C65+C67+C69+C73+C75+C77+C79+C81+C83</f>
        <v>2375000000</v>
      </c>
      <c r="D56" s="304">
        <f t="shared" ref="D56:E56" si="22">D57+D59+D61+D63+D65+D67+D69+D73+D75+D77+D79+D81+D83</f>
        <v>2262000000</v>
      </c>
      <c r="E56" s="304">
        <f t="shared" si="22"/>
        <v>113000000</v>
      </c>
      <c r="F56" s="305"/>
    </row>
    <row r="57" spans="1:6">
      <c r="A57" s="280">
        <v>1</v>
      </c>
      <c r="B57" s="250" t="s">
        <v>614</v>
      </c>
      <c r="C57" s="293">
        <f>C58</f>
        <v>251000000</v>
      </c>
      <c r="D57" s="293">
        <f t="shared" ref="D57:E57" si="23">D58</f>
        <v>239000000</v>
      </c>
      <c r="E57" s="293">
        <f t="shared" si="23"/>
        <v>12000000</v>
      </c>
      <c r="F57" s="7"/>
    </row>
    <row r="58" spans="1:6" ht="47.25">
      <c r="A58" s="19" t="s">
        <v>32</v>
      </c>
      <c r="B58" s="6" t="s">
        <v>615</v>
      </c>
      <c r="C58" s="18">
        <f>SUM(D58:E58)</f>
        <v>251000000</v>
      </c>
      <c r="D58" s="18">
        <v>239000000</v>
      </c>
      <c r="E58" s="18">
        <v>12000000</v>
      </c>
      <c r="F58" s="7"/>
    </row>
    <row r="59" spans="1:6">
      <c r="A59" s="280">
        <v>2</v>
      </c>
      <c r="B59" s="250" t="s">
        <v>616</v>
      </c>
      <c r="C59" s="293">
        <f>C60</f>
        <v>257000000</v>
      </c>
      <c r="D59" s="293">
        <f t="shared" ref="D59:E59" si="24">D60</f>
        <v>245000000</v>
      </c>
      <c r="E59" s="293">
        <f t="shared" si="24"/>
        <v>12000000</v>
      </c>
      <c r="F59" s="7"/>
    </row>
    <row r="60" spans="1:6" ht="63">
      <c r="A60" s="19" t="s">
        <v>32</v>
      </c>
      <c r="B60" s="6" t="s">
        <v>617</v>
      </c>
      <c r="C60" s="18">
        <f>SUM(D60:E60)</f>
        <v>257000000</v>
      </c>
      <c r="D60" s="18">
        <v>245000000</v>
      </c>
      <c r="E60" s="18">
        <v>12000000</v>
      </c>
      <c r="F60" s="7"/>
    </row>
    <row r="61" spans="1:6">
      <c r="A61" s="280">
        <v>3</v>
      </c>
      <c r="B61" s="250" t="s">
        <v>611</v>
      </c>
      <c r="C61" s="293">
        <f>C62</f>
        <v>257000000</v>
      </c>
      <c r="D61" s="293">
        <f t="shared" ref="D61:E61" si="25">D62</f>
        <v>245000000</v>
      </c>
      <c r="E61" s="293">
        <f t="shared" si="25"/>
        <v>12000000</v>
      </c>
      <c r="F61" s="7"/>
    </row>
    <row r="62" spans="1:6">
      <c r="A62" s="19" t="s">
        <v>32</v>
      </c>
      <c r="B62" s="7" t="s">
        <v>618</v>
      </c>
      <c r="C62" s="18">
        <f>SUM(D62:E62)</f>
        <v>257000000</v>
      </c>
      <c r="D62" s="18">
        <v>245000000</v>
      </c>
      <c r="E62" s="18">
        <v>12000000</v>
      </c>
      <c r="F62" s="7"/>
    </row>
    <row r="63" spans="1:6">
      <c r="A63" s="280">
        <v>4</v>
      </c>
      <c r="B63" s="250" t="s">
        <v>619</v>
      </c>
      <c r="C63" s="293">
        <f>C64</f>
        <v>253000000</v>
      </c>
      <c r="D63" s="293">
        <f t="shared" ref="D63:E63" si="26">D64</f>
        <v>241000000</v>
      </c>
      <c r="E63" s="293">
        <f t="shared" si="26"/>
        <v>12000000</v>
      </c>
      <c r="F63" s="7"/>
    </row>
    <row r="64" spans="1:6">
      <c r="A64" s="19" t="s">
        <v>32</v>
      </c>
      <c r="B64" s="7" t="s">
        <v>620</v>
      </c>
      <c r="C64" s="18">
        <f>SUM(D64:E64)</f>
        <v>253000000</v>
      </c>
      <c r="D64" s="18">
        <v>241000000</v>
      </c>
      <c r="E64" s="18">
        <v>12000000</v>
      </c>
      <c r="F64" s="7"/>
    </row>
    <row r="65" spans="1:6">
      <c r="A65" s="280">
        <v>5</v>
      </c>
      <c r="B65" s="250" t="s">
        <v>621</v>
      </c>
      <c r="C65" s="293">
        <f>C66</f>
        <v>258000000</v>
      </c>
      <c r="D65" s="293">
        <f t="shared" ref="D65:E65" si="27">D66</f>
        <v>246000000</v>
      </c>
      <c r="E65" s="293">
        <f t="shared" si="27"/>
        <v>12000000</v>
      </c>
      <c r="F65" s="7"/>
    </row>
    <row r="66" spans="1:6" ht="47.25">
      <c r="A66" s="19" t="s">
        <v>32</v>
      </c>
      <c r="B66" s="6" t="s">
        <v>622</v>
      </c>
      <c r="C66" s="18">
        <f>SUM(D66:E66)</f>
        <v>258000000</v>
      </c>
      <c r="D66" s="18">
        <v>246000000</v>
      </c>
      <c r="E66" s="18">
        <v>12000000</v>
      </c>
      <c r="F66" s="7"/>
    </row>
    <row r="67" spans="1:6">
      <c r="A67" s="280">
        <v>6</v>
      </c>
      <c r="B67" s="250" t="s">
        <v>623</v>
      </c>
      <c r="C67" s="293">
        <f>C68</f>
        <v>278000000</v>
      </c>
      <c r="D67" s="293">
        <f t="shared" ref="D67:E67" si="28">D68</f>
        <v>265000000</v>
      </c>
      <c r="E67" s="293">
        <f t="shared" si="28"/>
        <v>13000000</v>
      </c>
      <c r="F67" s="7"/>
    </row>
    <row r="68" spans="1:6" ht="31.5">
      <c r="A68" s="19" t="s">
        <v>32</v>
      </c>
      <c r="B68" s="6" t="s">
        <v>624</v>
      </c>
      <c r="C68" s="18">
        <f>SUM(D68:E68)</f>
        <v>278000000</v>
      </c>
      <c r="D68" s="18">
        <v>265000000</v>
      </c>
      <c r="E68" s="18">
        <v>13000000</v>
      </c>
      <c r="F68" s="7"/>
    </row>
    <row r="69" spans="1:6">
      <c r="A69" s="280">
        <v>7</v>
      </c>
      <c r="B69" s="250" t="s">
        <v>625</v>
      </c>
      <c r="C69" s="293">
        <f>SUM(C70:C72)</f>
        <v>250000000</v>
      </c>
      <c r="D69" s="293">
        <f t="shared" ref="D69:E69" si="29">SUM(D70:D72)</f>
        <v>238000000</v>
      </c>
      <c r="E69" s="293">
        <f t="shared" si="29"/>
        <v>12000000</v>
      </c>
      <c r="F69" s="7"/>
    </row>
    <row r="70" spans="1:6">
      <c r="A70" s="19" t="s">
        <v>32</v>
      </c>
      <c r="B70" s="6" t="s">
        <v>626</v>
      </c>
      <c r="C70" s="18">
        <f>SUM(D70:E70)</f>
        <v>122000000</v>
      </c>
      <c r="D70" s="18">
        <v>116000000</v>
      </c>
      <c r="E70" s="18">
        <v>6000000</v>
      </c>
      <c r="F70" s="7"/>
    </row>
    <row r="71" spans="1:6">
      <c r="A71" s="19" t="s">
        <v>32</v>
      </c>
      <c r="B71" s="7" t="s">
        <v>627</v>
      </c>
      <c r="C71" s="18">
        <f t="shared" ref="C71:C72" si="30">SUM(D71:E71)</f>
        <v>48000000</v>
      </c>
      <c r="D71" s="18">
        <v>46000000</v>
      </c>
      <c r="E71" s="18">
        <v>2000000</v>
      </c>
      <c r="F71" s="7"/>
    </row>
    <row r="72" spans="1:6">
      <c r="A72" s="19" t="s">
        <v>32</v>
      </c>
      <c r="B72" s="7" t="s">
        <v>628</v>
      </c>
      <c r="C72" s="18">
        <f t="shared" si="30"/>
        <v>80000000</v>
      </c>
      <c r="D72" s="18">
        <v>76000000</v>
      </c>
      <c r="E72" s="18">
        <v>4000000</v>
      </c>
      <c r="F72" s="7"/>
    </row>
    <row r="73" spans="1:6">
      <c r="A73" s="280">
        <v>8</v>
      </c>
      <c r="B73" s="250" t="s">
        <v>629</v>
      </c>
      <c r="C73" s="293">
        <f>C74</f>
        <v>249000000</v>
      </c>
      <c r="D73" s="293">
        <f t="shared" ref="D73:E73" si="31">D74</f>
        <v>237000000</v>
      </c>
      <c r="E73" s="293">
        <f t="shared" si="31"/>
        <v>12000000</v>
      </c>
      <c r="F73" s="7"/>
    </row>
    <row r="74" spans="1:6" ht="47.25">
      <c r="A74" s="19" t="s">
        <v>32</v>
      </c>
      <c r="B74" s="6" t="s">
        <v>630</v>
      </c>
      <c r="C74" s="18">
        <f>SUM(D74:E74)</f>
        <v>249000000</v>
      </c>
      <c r="D74" s="18">
        <v>237000000</v>
      </c>
      <c r="E74" s="18">
        <v>12000000</v>
      </c>
      <c r="F74" s="7"/>
    </row>
    <row r="75" spans="1:6">
      <c r="A75" s="280">
        <v>9</v>
      </c>
      <c r="B75" s="250" t="s">
        <v>631</v>
      </c>
      <c r="C75" s="293">
        <f>C76</f>
        <v>36000000</v>
      </c>
      <c r="D75" s="293">
        <f t="shared" ref="D75:E75" si="32">D76</f>
        <v>34000000</v>
      </c>
      <c r="E75" s="293">
        <f t="shared" si="32"/>
        <v>2000000</v>
      </c>
      <c r="F75" s="7"/>
    </row>
    <row r="76" spans="1:6" ht="31.5">
      <c r="A76" s="19" t="s">
        <v>32</v>
      </c>
      <c r="B76" s="6" t="s">
        <v>632</v>
      </c>
      <c r="C76" s="18">
        <f>SUM(D76:E76)</f>
        <v>36000000</v>
      </c>
      <c r="D76" s="18">
        <v>34000000</v>
      </c>
      <c r="E76" s="18">
        <v>2000000</v>
      </c>
      <c r="F76" s="7"/>
    </row>
    <row r="77" spans="1:6">
      <c r="A77" s="280">
        <v>10</v>
      </c>
      <c r="B77" s="250" t="s">
        <v>633</v>
      </c>
      <c r="C77" s="293">
        <f>C78</f>
        <v>107000000</v>
      </c>
      <c r="D77" s="293">
        <f t="shared" ref="D77:E77" si="33">D78</f>
        <v>102000000</v>
      </c>
      <c r="E77" s="293">
        <f t="shared" si="33"/>
        <v>5000000</v>
      </c>
      <c r="F77" s="7"/>
    </row>
    <row r="78" spans="1:6">
      <c r="A78" s="19" t="s">
        <v>32</v>
      </c>
      <c r="B78" s="7" t="s">
        <v>634</v>
      </c>
      <c r="C78" s="18">
        <f>SUM(D78:E78)</f>
        <v>107000000</v>
      </c>
      <c r="D78" s="18">
        <v>102000000</v>
      </c>
      <c r="E78" s="18">
        <v>5000000</v>
      </c>
      <c r="F78" s="7"/>
    </row>
    <row r="79" spans="1:6">
      <c r="A79" s="280">
        <v>11</v>
      </c>
      <c r="B79" s="250" t="s">
        <v>635</v>
      </c>
      <c r="C79" s="293">
        <f>C80</f>
        <v>107000000</v>
      </c>
      <c r="D79" s="293">
        <f t="shared" ref="D79:E79" si="34">D80</f>
        <v>102000000</v>
      </c>
      <c r="E79" s="293">
        <f t="shared" si="34"/>
        <v>5000000</v>
      </c>
      <c r="F79" s="7"/>
    </row>
    <row r="80" spans="1:6" ht="31.5">
      <c r="A80" s="19" t="s">
        <v>32</v>
      </c>
      <c r="B80" s="6" t="s">
        <v>636</v>
      </c>
      <c r="C80" s="18">
        <f>SUM(D80:E80)</f>
        <v>107000000</v>
      </c>
      <c r="D80" s="18">
        <v>102000000</v>
      </c>
      <c r="E80" s="18">
        <v>5000000</v>
      </c>
      <c r="F80" s="7"/>
    </row>
    <row r="81" spans="1:6">
      <c r="A81" s="280">
        <v>12</v>
      </c>
      <c r="B81" s="250" t="s">
        <v>637</v>
      </c>
      <c r="C81" s="293">
        <f>C82</f>
        <v>36000000</v>
      </c>
      <c r="D81" s="293">
        <f t="shared" ref="D81:E81" si="35">D82</f>
        <v>34000000</v>
      </c>
      <c r="E81" s="293">
        <f t="shared" si="35"/>
        <v>2000000</v>
      </c>
      <c r="F81" s="7"/>
    </row>
    <row r="82" spans="1:6">
      <c r="A82" s="19" t="s">
        <v>32</v>
      </c>
      <c r="B82" s="7" t="s">
        <v>638</v>
      </c>
      <c r="C82" s="18">
        <f>SUM(D82:E82)</f>
        <v>36000000</v>
      </c>
      <c r="D82" s="18">
        <v>34000000</v>
      </c>
      <c r="E82" s="18">
        <v>2000000</v>
      </c>
      <c r="F82" s="7"/>
    </row>
    <row r="83" spans="1:6">
      <c r="A83" s="280">
        <v>13</v>
      </c>
      <c r="B83" s="250" t="s">
        <v>639</v>
      </c>
      <c r="C83" s="293">
        <f>C84</f>
        <v>36000000</v>
      </c>
      <c r="D83" s="293">
        <f t="shared" ref="D83:E83" si="36">D84</f>
        <v>34000000</v>
      </c>
      <c r="E83" s="293">
        <f t="shared" si="36"/>
        <v>2000000</v>
      </c>
      <c r="F83" s="7"/>
    </row>
    <row r="84" spans="1:6">
      <c r="A84" s="19" t="s">
        <v>32</v>
      </c>
      <c r="B84" s="7" t="s">
        <v>640</v>
      </c>
      <c r="C84" s="18">
        <f>SUM(D84:E84)</f>
        <v>36000000</v>
      </c>
      <c r="D84" s="18">
        <v>34000000</v>
      </c>
      <c r="E84" s="18">
        <v>2000000</v>
      </c>
      <c r="F84" s="7"/>
    </row>
    <row r="85" spans="1:6">
      <c r="A85" s="245" t="s">
        <v>55</v>
      </c>
      <c r="B85" s="246" t="s">
        <v>48</v>
      </c>
      <c r="C85" s="247">
        <f>C86+C111</f>
        <v>2336244334</v>
      </c>
      <c r="D85" s="247">
        <f t="shared" ref="D85:E85" si="37">D86+D111</f>
        <v>2229244334</v>
      </c>
      <c r="E85" s="247">
        <f t="shared" si="37"/>
        <v>107000000</v>
      </c>
      <c r="F85" s="246"/>
    </row>
    <row r="86" spans="1:6" ht="31.5">
      <c r="A86" s="302" t="s">
        <v>28</v>
      </c>
      <c r="B86" s="303" t="s">
        <v>9</v>
      </c>
      <c r="C86" s="304">
        <f>C87+C90+C94+C98+C101+C104+C106+C109</f>
        <v>95244334</v>
      </c>
      <c r="D86" s="304">
        <f t="shared" ref="D86:E86" si="38">D87+D90+D94+D98+D101+D104+D106+D109</f>
        <v>95244334</v>
      </c>
      <c r="E86" s="304">
        <f t="shared" si="38"/>
        <v>0</v>
      </c>
      <c r="F86" s="305"/>
    </row>
    <row r="87" spans="1:6">
      <c r="A87" s="160">
        <v>1</v>
      </c>
      <c r="B87" s="307" t="s">
        <v>383</v>
      </c>
      <c r="C87" s="262">
        <f>SUM(C88:C89)</f>
        <v>877583</v>
      </c>
      <c r="D87" s="262">
        <f>SUM(D88:D89)</f>
        <v>877583</v>
      </c>
      <c r="E87" s="262"/>
      <c r="F87" s="7"/>
    </row>
    <row r="88" spans="1:6" ht="31.5">
      <c r="A88" s="316" t="s">
        <v>32</v>
      </c>
      <c r="B88" s="288" t="s">
        <v>641</v>
      </c>
      <c r="C88" s="254">
        <f>SUM(D88:E88)</f>
        <v>627583</v>
      </c>
      <c r="D88" s="254">
        <v>627583</v>
      </c>
      <c r="E88" s="18"/>
      <c r="F88" s="7"/>
    </row>
    <row r="89" spans="1:6" ht="31.5">
      <c r="A89" s="316" t="s">
        <v>32</v>
      </c>
      <c r="B89" s="288" t="s">
        <v>642</v>
      </c>
      <c r="C89" s="254">
        <f>SUM(D89:E89)</f>
        <v>250000</v>
      </c>
      <c r="D89" s="254">
        <v>250000</v>
      </c>
      <c r="E89" s="18"/>
      <c r="F89" s="7"/>
    </row>
    <row r="90" spans="1:6">
      <c r="A90" s="160">
        <v>2</v>
      </c>
      <c r="B90" s="308" t="s">
        <v>501</v>
      </c>
      <c r="C90" s="262">
        <f>SUM(C91:C93)</f>
        <v>62493867</v>
      </c>
      <c r="D90" s="262">
        <f>SUM(D91:D93)</f>
        <v>62493867</v>
      </c>
      <c r="E90" s="262"/>
      <c r="F90" s="7"/>
    </row>
    <row r="91" spans="1:6">
      <c r="A91" s="316" t="s">
        <v>32</v>
      </c>
      <c r="B91" s="291" t="s">
        <v>643</v>
      </c>
      <c r="C91" s="254">
        <f t="shared" ref="C91:C93" si="39">D91+E91</f>
        <v>638140</v>
      </c>
      <c r="D91" s="254">
        <v>638140</v>
      </c>
      <c r="E91" s="18"/>
      <c r="F91" s="7"/>
    </row>
    <row r="92" spans="1:6">
      <c r="A92" s="316" t="s">
        <v>32</v>
      </c>
      <c r="B92" s="288" t="s">
        <v>644</v>
      </c>
      <c r="C92" s="254">
        <f t="shared" si="39"/>
        <v>61854830</v>
      </c>
      <c r="D92" s="254">
        <v>61854830</v>
      </c>
      <c r="E92" s="18"/>
      <c r="F92" s="7"/>
    </row>
    <row r="93" spans="1:6">
      <c r="A93" s="316" t="s">
        <v>32</v>
      </c>
      <c r="B93" s="288" t="s">
        <v>645</v>
      </c>
      <c r="C93" s="254">
        <f t="shared" si="39"/>
        <v>897</v>
      </c>
      <c r="D93" s="254">
        <v>897</v>
      </c>
      <c r="E93" s="18"/>
      <c r="F93" s="7"/>
    </row>
    <row r="94" spans="1:6">
      <c r="A94" s="160">
        <v>3</v>
      </c>
      <c r="B94" s="307" t="s">
        <v>387</v>
      </c>
      <c r="C94" s="262">
        <f>SUM(C95:C97)</f>
        <v>1538199</v>
      </c>
      <c r="D94" s="262">
        <f>SUM(D95:D97)</f>
        <v>1538199</v>
      </c>
      <c r="E94" s="262"/>
      <c r="F94" s="7"/>
    </row>
    <row r="95" spans="1:6" ht="47.25">
      <c r="A95" s="309" t="s">
        <v>32</v>
      </c>
      <c r="B95" s="288" t="s">
        <v>646</v>
      </c>
      <c r="C95" s="254">
        <f>D95+E95</f>
        <v>1038000</v>
      </c>
      <c r="D95" s="254">
        <v>1038000</v>
      </c>
      <c r="E95" s="18"/>
      <c r="F95" s="7"/>
    </row>
    <row r="96" spans="1:6">
      <c r="A96" s="309" t="s">
        <v>32</v>
      </c>
      <c r="B96" s="288" t="s">
        <v>647</v>
      </c>
      <c r="C96" s="254">
        <f t="shared" ref="C96:C97" si="40">D96+E96</f>
        <v>249199</v>
      </c>
      <c r="D96" s="254">
        <v>249199</v>
      </c>
      <c r="E96" s="18"/>
      <c r="F96" s="7"/>
    </row>
    <row r="97" spans="1:6">
      <c r="A97" s="309" t="s">
        <v>32</v>
      </c>
      <c r="B97" s="288" t="s">
        <v>648</v>
      </c>
      <c r="C97" s="254">
        <f t="shared" si="40"/>
        <v>251000</v>
      </c>
      <c r="D97" s="254">
        <v>251000</v>
      </c>
      <c r="E97" s="18"/>
      <c r="F97" s="7"/>
    </row>
    <row r="98" spans="1:6">
      <c r="A98" s="160">
        <v>4</v>
      </c>
      <c r="B98" s="308" t="s">
        <v>392</v>
      </c>
      <c r="C98" s="262">
        <f>SUM(C99:C100)</f>
        <v>10400109</v>
      </c>
      <c r="D98" s="262">
        <f>SUM(D99:D100)</f>
        <v>10400109</v>
      </c>
      <c r="E98" s="262"/>
      <c r="F98" s="7"/>
    </row>
    <row r="99" spans="1:6">
      <c r="A99" s="309" t="s">
        <v>32</v>
      </c>
      <c r="B99" s="291" t="s">
        <v>649</v>
      </c>
      <c r="C99" s="254">
        <f t="shared" ref="C99:C100" si="41">D99+E99</f>
        <v>352433</v>
      </c>
      <c r="D99" s="254">
        <v>352433</v>
      </c>
      <c r="E99" s="18"/>
      <c r="F99" s="7"/>
    </row>
    <row r="100" spans="1:6" ht="31.5">
      <c r="A100" s="316" t="s">
        <v>32</v>
      </c>
      <c r="B100" s="296" t="s">
        <v>650</v>
      </c>
      <c r="C100" s="254">
        <f t="shared" si="41"/>
        <v>10047676</v>
      </c>
      <c r="D100" s="254">
        <v>10047676</v>
      </c>
      <c r="E100" s="18"/>
      <c r="F100" s="7"/>
    </row>
    <row r="101" spans="1:6">
      <c r="A101" s="160">
        <v>5</v>
      </c>
      <c r="B101" s="307" t="s">
        <v>651</v>
      </c>
      <c r="C101" s="262">
        <f>SUM(C102:C103)</f>
        <v>3040005</v>
      </c>
      <c r="D101" s="262">
        <f>SUM(D102:D103)</f>
        <v>3040005</v>
      </c>
      <c r="E101" s="262"/>
      <c r="F101" s="7"/>
    </row>
    <row r="102" spans="1:6">
      <c r="A102" s="316" t="s">
        <v>32</v>
      </c>
      <c r="B102" s="264" t="s">
        <v>652</v>
      </c>
      <c r="C102" s="254">
        <f>D102+E102</f>
        <v>2078376</v>
      </c>
      <c r="D102" s="254">
        <v>2078376</v>
      </c>
      <c r="E102" s="18"/>
      <c r="F102" s="7"/>
    </row>
    <row r="103" spans="1:6">
      <c r="A103" s="316" t="s">
        <v>32</v>
      </c>
      <c r="B103" s="288" t="s">
        <v>653</v>
      </c>
      <c r="C103" s="254">
        <f t="shared" ref="C103:C108" si="42">D103+E103</f>
        <v>961629</v>
      </c>
      <c r="D103" s="254">
        <v>961629</v>
      </c>
      <c r="E103" s="18"/>
      <c r="F103" s="7"/>
    </row>
    <row r="104" spans="1:6">
      <c r="A104" s="160">
        <v>6</v>
      </c>
      <c r="B104" s="310" t="s">
        <v>505</v>
      </c>
      <c r="C104" s="262">
        <f>SUM(C105:C105)</f>
        <v>2355810</v>
      </c>
      <c r="D104" s="262">
        <f>SUM(D105:D105)</f>
        <v>2355810</v>
      </c>
      <c r="E104" s="262"/>
      <c r="F104" s="7"/>
    </row>
    <row r="105" spans="1:6">
      <c r="A105" s="316" t="s">
        <v>32</v>
      </c>
      <c r="B105" s="288" t="s">
        <v>654</v>
      </c>
      <c r="C105" s="254">
        <v>2355810</v>
      </c>
      <c r="D105" s="254">
        <v>2355810</v>
      </c>
      <c r="E105" s="18"/>
      <c r="F105" s="7"/>
    </row>
    <row r="106" spans="1:6">
      <c r="A106" s="160">
        <v>7</v>
      </c>
      <c r="B106" s="308" t="s">
        <v>398</v>
      </c>
      <c r="C106" s="262">
        <f>SUM(C107:C108)</f>
        <v>410102</v>
      </c>
      <c r="D106" s="262">
        <f>SUM(D107:D108)</f>
        <v>410102</v>
      </c>
      <c r="E106" s="262"/>
      <c r="F106" s="7"/>
    </row>
    <row r="107" spans="1:6">
      <c r="A107" s="316" t="s">
        <v>32</v>
      </c>
      <c r="B107" s="291" t="s">
        <v>655</v>
      </c>
      <c r="C107" s="254">
        <f t="shared" si="42"/>
        <v>250000</v>
      </c>
      <c r="D107" s="254">
        <v>250000</v>
      </c>
      <c r="E107" s="18"/>
      <c r="F107" s="7"/>
    </row>
    <row r="108" spans="1:6" ht="31.5">
      <c r="A108" s="316" t="s">
        <v>32</v>
      </c>
      <c r="B108" s="291" t="s">
        <v>656</v>
      </c>
      <c r="C108" s="254">
        <f t="shared" si="42"/>
        <v>160102</v>
      </c>
      <c r="D108" s="254">
        <v>160102</v>
      </c>
      <c r="E108" s="18"/>
      <c r="F108" s="7"/>
    </row>
    <row r="109" spans="1:6">
      <c r="A109" s="160">
        <v>8</v>
      </c>
      <c r="B109" s="308" t="s">
        <v>657</v>
      </c>
      <c r="C109" s="262">
        <f>C110</f>
        <v>14128659</v>
      </c>
      <c r="D109" s="262">
        <f t="shared" ref="D109" si="43">D110</f>
        <v>14128659</v>
      </c>
      <c r="E109" s="262"/>
      <c r="F109" s="7"/>
    </row>
    <row r="110" spans="1:6">
      <c r="A110" s="316" t="s">
        <v>32</v>
      </c>
      <c r="B110" s="291" t="s">
        <v>658</v>
      </c>
      <c r="C110" s="254">
        <f>D110+E110</f>
        <v>14128659</v>
      </c>
      <c r="D110" s="254">
        <v>14128659</v>
      </c>
      <c r="E110" s="18"/>
      <c r="F110" s="7"/>
    </row>
    <row r="111" spans="1:6" s="234" customFormat="1">
      <c r="A111" s="311" t="s">
        <v>29</v>
      </c>
      <c r="B111" s="306" t="s">
        <v>21</v>
      </c>
      <c r="C111" s="312">
        <f>C112+C114+C116+C118+C120+C125+C127+C130+C132+C123</f>
        <v>2241000000</v>
      </c>
      <c r="D111" s="312">
        <f t="shared" ref="D111:E111" si="44">D112+D114+D116+D118+D120+D125+D127+D130+D132+D123</f>
        <v>2134000000</v>
      </c>
      <c r="E111" s="312">
        <f t="shared" si="44"/>
        <v>107000000</v>
      </c>
      <c r="F111" s="306"/>
    </row>
    <row r="112" spans="1:6">
      <c r="A112" s="160">
        <v>1</v>
      </c>
      <c r="B112" s="307" t="s">
        <v>383</v>
      </c>
      <c r="C112" s="262">
        <f>SUM(C113:C113)</f>
        <v>240000000</v>
      </c>
      <c r="D112" s="262">
        <f>SUM(D113:D113)</f>
        <v>229000000</v>
      </c>
      <c r="E112" s="262">
        <f>SUM(E113:E113)</f>
        <v>11000000</v>
      </c>
      <c r="F112" s="7"/>
    </row>
    <row r="113" spans="1:6">
      <c r="A113" s="316" t="s">
        <v>32</v>
      </c>
      <c r="B113" s="313" t="s">
        <v>659</v>
      </c>
      <c r="C113" s="254">
        <f>SUM(D113:E113)</f>
        <v>240000000</v>
      </c>
      <c r="D113" s="314">
        <v>229000000</v>
      </c>
      <c r="E113" s="314">
        <v>11000000</v>
      </c>
      <c r="F113" s="7"/>
    </row>
    <row r="114" spans="1:6">
      <c r="A114" s="160">
        <v>2</v>
      </c>
      <c r="B114" s="308" t="s">
        <v>501</v>
      </c>
      <c r="C114" s="262">
        <f>SUM(C115:C115)</f>
        <v>240000000</v>
      </c>
      <c r="D114" s="262">
        <f>SUM(D115:D115)</f>
        <v>229000000</v>
      </c>
      <c r="E114" s="262">
        <f>SUM(E115:E115)</f>
        <v>11000000</v>
      </c>
      <c r="F114" s="7"/>
    </row>
    <row r="115" spans="1:6">
      <c r="A115" s="316" t="s">
        <v>32</v>
      </c>
      <c r="B115" s="315" t="s">
        <v>660</v>
      </c>
      <c r="C115" s="266">
        <f t="shared" ref="C115" si="45">D115+E115</f>
        <v>240000000</v>
      </c>
      <c r="D115" s="266">
        <v>229000000</v>
      </c>
      <c r="E115" s="266">
        <v>11000000</v>
      </c>
      <c r="F115" s="7"/>
    </row>
    <row r="116" spans="1:6">
      <c r="A116" s="160">
        <v>3</v>
      </c>
      <c r="B116" s="307" t="s">
        <v>387</v>
      </c>
      <c r="C116" s="262">
        <f>SUM(C117:C117)</f>
        <v>240000000</v>
      </c>
      <c r="D116" s="262">
        <f>SUM(D117:D117)</f>
        <v>229000000</v>
      </c>
      <c r="E116" s="262">
        <f>SUM(E117:E117)</f>
        <v>11000000</v>
      </c>
      <c r="F116" s="7"/>
    </row>
    <row r="117" spans="1:6">
      <c r="A117" s="309" t="s">
        <v>32</v>
      </c>
      <c r="B117" s="315" t="s">
        <v>661</v>
      </c>
      <c r="C117" s="266">
        <f t="shared" ref="C117" si="46">D117+E117</f>
        <v>240000000</v>
      </c>
      <c r="D117" s="266">
        <v>229000000</v>
      </c>
      <c r="E117" s="266">
        <v>11000000</v>
      </c>
      <c r="F117" s="7"/>
    </row>
    <row r="118" spans="1:6">
      <c r="A118" s="160">
        <v>4</v>
      </c>
      <c r="B118" s="308" t="s">
        <v>392</v>
      </c>
      <c r="C118" s="262">
        <f>SUM(C119:C119)</f>
        <v>240000000</v>
      </c>
      <c r="D118" s="262">
        <f>SUM(D119:D119)</f>
        <v>229000000</v>
      </c>
      <c r="E118" s="262">
        <f>SUM(E119:E119)</f>
        <v>11000000</v>
      </c>
      <c r="F118" s="7"/>
    </row>
    <row r="119" spans="1:6">
      <c r="A119" s="316" t="s">
        <v>32</v>
      </c>
      <c r="B119" s="294" t="s">
        <v>662</v>
      </c>
      <c r="C119" s="266">
        <f t="shared" ref="C119" si="47">D119+E119</f>
        <v>240000000</v>
      </c>
      <c r="D119" s="266">
        <v>229000000</v>
      </c>
      <c r="E119" s="266">
        <v>11000000</v>
      </c>
      <c r="F119" s="7"/>
    </row>
    <row r="120" spans="1:6">
      <c r="A120" s="160">
        <v>5</v>
      </c>
      <c r="B120" s="307" t="s">
        <v>651</v>
      </c>
      <c r="C120" s="262">
        <f>SUM(C121:C122)</f>
        <v>81000000</v>
      </c>
      <c r="D120" s="262">
        <f>SUM(D121:D122)</f>
        <v>74000000</v>
      </c>
      <c r="E120" s="262">
        <f>SUM(E121:E122)</f>
        <v>7000000</v>
      </c>
      <c r="F120" s="7"/>
    </row>
    <row r="121" spans="1:6">
      <c r="A121" s="728" t="s">
        <v>32</v>
      </c>
      <c r="B121" s="315" t="s">
        <v>663</v>
      </c>
      <c r="C121" s="729">
        <f>D121+E121</f>
        <v>81000000</v>
      </c>
      <c r="D121" s="729">
        <v>74000000</v>
      </c>
      <c r="E121" s="729">
        <v>7000000</v>
      </c>
      <c r="F121" s="7"/>
    </row>
    <row r="122" spans="1:6">
      <c r="A122" s="728"/>
      <c r="B122" s="315" t="s">
        <v>664</v>
      </c>
      <c r="C122" s="729"/>
      <c r="D122" s="729"/>
      <c r="E122" s="729"/>
      <c r="F122" s="7"/>
    </row>
    <row r="123" spans="1:6">
      <c r="A123" s="316">
        <v>6</v>
      </c>
      <c r="B123" s="317" t="s">
        <v>394</v>
      </c>
      <c r="C123" s="262">
        <f>SUM(C124:C124)</f>
        <v>240000000</v>
      </c>
      <c r="D123" s="262">
        <f>SUM(D124:D124)</f>
        <v>229000000</v>
      </c>
      <c r="E123" s="262">
        <f>SUM(E124:E124)</f>
        <v>11000000</v>
      </c>
      <c r="F123" s="7"/>
    </row>
    <row r="124" spans="1:6" ht="31.5">
      <c r="A124" s="316" t="s">
        <v>32</v>
      </c>
      <c r="B124" s="313" t="s">
        <v>665</v>
      </c>
      <c r="C124" s="266">
        <f t="shared" ref="C124" si="48">D124+E124</f>
        <v>240000000</v>
      </c>
      <c r="D124" s="266">
        <v>229000000</v>
      </c>
      <c r="E124" s="266">
        <v>11000000</v>
      </c>
      <c r="F124" s="7"/>
    </row>
    <row r="125" spans="1:6">
      <c r="A125" s="160">
        <v>7</v>
      </c>
      <c r="B125" s="310" t="s">
        <v>505</v>
      </c>
      <c r="C125" s="262">
        <f>SUM(C126:C126)</f>
        <v>240000000</v>
      </c>
      <c r="D125" s="262">
        <f>SUM(D126:D126)</f>
        <v>229000000</v>
      </c>
      <c r="E125" s="262">
        <f>SUM(E126:E126)</f>
        <v>11000000</v>
      </c>
      <c r="F125" s="7"/>
    </row>
    <row r="126" spans="1:6" ht="31.5">
      <c r="A126" s="316" t="s">
        <v>32</v>
      </c>
      <c r="B126" s="294" t="s">
        <v>666</v>
      </c>
      <c r="C126" s="266">
        <f t="shared" ref="C126" si="49">D126+E126</f>
        <v>240000000</v>
      </c>
      <c r="D126" s="266">
        <v>229000000</v>
      </c>
      <c r="E126" s="266">
        <v>11000000</v>
      </c>
      <c r="F126" s="7"/>
    </row>
    <row r="127" spans="1:6">
      <c r="A127" s="160">
        <v>8</v>
      </c>
      <c r="B127" s="308" t="s">
        <v>398</v>
      </c>
      <c r="C127" s="262">
        <f>SUM(C128:C129)</f>
        <v>240000000</v>
      </c>
      <c r="D127" s="262">
        <f>SUM(D128:D129)</f>
        <v>228000000</v>
      </c>
      <c r="E127" s="262">
        <f>SUM(E128:E129)</f>
        <v>12000000</v>
      </c>
      <c r="F127" s="7"/>
    </row>
    <row r="128" spans="1:6" ht="31.5">
      <c r="A128" s="316" t="s">
        <v>32</v>
      </c>
      <c r="B128" s="315" t="s">
        <v>667</v>
      </c>
      <c r="C128" s="266">
        <f t="shared" ref="C128:C129" si="50">D128+E128</f>
        <v>120000000</v>
      </c>
      <c r="D128" s="266">
        <v>114000000</v>
      </c>
      <c r="E128" s="266">
        <v>6000000</v>
      </c>
      <c r="F128" s="7"/>
    </row>
    <row r="129" spans="1:6" ht="31.5">
      <c r="A129" s="316" t="s">
        <v>32</v>
      </c>
      <c r="B129" s="315" t="s">
        <v>668</v>
      </c>
      <c r="C129" s="266">
        <f t="shared" si="50"/>
        <v>120000000</v>
      </c>
      <c r="D129" s="266">
        <v>114000000</v>
      </c>
      <c r="E129" s="266">
        <v>6000000</v>
      </c>
      <c r="F129" s="7"/>
    </row>
    <row r="130" spans="1:6">
      <c r="A130" s="318">
        <v>9</v>
      </c>
      <c r="B130" s="319" t="s">
        <v>669</v>
      </c>
      <c r="C130" s="320">
        <f t="shared" ref="C130:E130" si="51">SUM(C131:C131)</f>
        <v>240000000</v>
      </c>
      <c r="D130" s="320">
        <f t="shared" si="51"/>
        <v>229000000</v>
      </c>
      <c r="E130" s="320">
        <f t="shared" si="51"/>
        <v>11000000</v>
      </c>
      <c r="F130" s="7"/>
    </row>
    <row r="131" spans="1:6" ht="31.5">
      <c r="A131" s="321" t="s">
        <v>32</v>
      </c>
      <c r="B131" s="294" t="s">
        <v>670</v>
      </c>
      <c r="C131" s="266">
        <f t="shared" ref="C131" si="52">D131+E131</f>
        <v>240000000</v>
      </c>
      <c r="D131" s="266">
        <v>229000000</v>
      </c>
      <c r="E131" s="266">
        <v>11000000</v>
      </c>
      <c r="F131" s="7"/>
    </row>
    <row r="132" spans="1:6">
      <c r="A132" s="318">
        <v>10</v>
      </c>
      <c r="B132" s="319" t="s">
        <v>400</v>
      </c>
      <c r="C132" s="320">
        <f>C133</f>
        <v>240000000</v>
      </c>
      <c r="D132" s="320">
        <f t="shared" ref="D132:E132" si="53">D133</f>
        <v>229000000</v>
      </c>
      <c r="E132" s="320">
        <f t="shared" si="53"/>
        <v>11000000</v>
      </c>
      <c r="F132" s="7"/>
    </row>
    <row r="133" spans="1:6" ht="31.5">
      <c r="A133" s="321" t="s">
        <v>32</v>
      </c>
      <c r="B133" s="294" t="s">
        <v>671</v>
      </c>
      <c r="C133" s="266">
        <f t="shared" ref="C133" si="54">D133+E133</f>
        <v>240000000</v>
      </c>
      <c r="D133" s="266">
        <v>229000000</v>
      </c>
      <c r="E133" s="266">
        <v>11000000</v>
      </c>
      <c r="F133" s="7"/>
    </row>
    <row r="134" spans="1:6">
      <c r="A134" s="245" t="s">
        <v>56</v>
      </c>
      <c r="B134" s="246" t="s">
        <v>76</v>
      </c>
      <c r="C134" s="247">
        <f>C135+C137+C141+C143+C147+C149+C152+C155+C159+C161+C163+C165+C168+C172+C174+C177+C179</f>
        <v>4003000000</v>
      </c>
      <c r="D134" s="247">
        <f t="shared" ref="D134:E134" si="55">D135+D137+D141+D143+D147+D149+D152+D155+D159+D161+D163+D165+D168+D172+D174+D177+D179</f>
        <v>3812000000</v>
      </c>
      <c r="E134" s="247">
        <f t="shared" si="55"/>
        <v>191000000</v>
      </c>
      <c r="F134" s="246"/>
    </row>
    <row r="135" spans="1:6">
      <c r="A135" s="280">
        <v>1</v>
      </c>
      <c r="B135" s="322" t="s">
        <v>672</v>
      </c>
      <c r="C135" s="249">
        <f>SUM(C136)</f>
        <v>261000000</v>
      </c>
      <c r="D135" s="249">
        <f t="shared" ref="D135:E135" si="56">SUM(D136)</f>
        <v>249000000</v>
      </c>
      <c r="E135" s="249">
        <f t="shared" si="56"/>
        <v>12000000</v>
      </c>
      <c r="F135" s="7"/>
    </row>
    <row r="136" spans="1:6" ht="34.5" customHeight="1">
      <c r="A136" s="280"/>
      <c r="B136" s="323" t="s">
        <v>673</v>
      </c>
      <c r="C136" s="29">
        <f t="shared" ref="C136:C182" si="57">SUM(D136:E136)</f>
        <v>261000000</v>
      </c>
      <c r="D136" s="29">
        <v>249000000</v>
      </c>
      <c r="E136" s="29">
        <v>12000000</v>
      </c>
      <c r="F136" s="7"/>
    </row>
    <row r="137" spans="1:6">
      <c r="A137" s="280">
        <v>2</v>
      </c>
      <c r="B137" s="322" t="s">
        <v>674</v>
      </c>
      <c r="C137" s="249">
        <f>SUM(C138:C140)</f>
        <v>234000000</v>
      </c>
      <c r="D137" s="249">
        <f t="shared" ref="D137:E137" si="58">SUM(D138:D140)</f>
        <v>223000000</v>
      </c>
      <c r="E137" s="249">
        <f t="shared" si="58"/>
        <v>11000000</v>
      </c>
      <c r="F137" s="7"/>
    </row>
    <row r="138" spans="1:6" ht="31.5">
      <c r="A138" s="280"/>
      <c r="B138" s="323" t="s">
        <v>675</v>
      </c>
      <c r="C138" s="29">
        <f t="shared" si="57"/>
        <v>84000000</v>
      </c>
      <c r="D138" s="29">
        <v>80000000</v>
      </c>
      <c r="E138" s="29">
        <v>4000000</v>
      </c>
      <c r="F138" s="7"/>
    </row>
    <row r="139" spans="1:6" ht="31.5">
      <c r="A139" s="280"/>
      <c r="B139" s="323" t="s">
        <v>676</v>
      </c>
      <c r="C139" s="29">
        <f t="shared" si="57"/>
        <v>63000000</v>
      </c>
      <c r="D139" s="29">
        <v>60000000</v>
      </c>
      <c r="E139" s="29">
        <v>3000000</v>
      </c>
      <c r="F139" s="7"/>
    </row>
    <row r="140" spans="1:6" ht="31.5">
      <c r="A140" s="280"/>
      <c r="B140" s="323" t="s">
        <v>677</v>
      </c>
      <c r="C140" s="29">
        <f t="shared" si="57"/>
        <v>87000000</v>
      </c>
      <c r="D140" s="29">
        <v>83000000</v>
      </c>
      <c r="E140" s="29">
        <v>4000000</v>
      </c>
      <c r="F140" s="7"/>
    </row>
    <row r="141" spans="1:6">
      <c r="A141" s="280">
        <v>3</v>
      </c>
      <c r="B141" s="322" t="s">
        <v>678</v>
      </c>
      <c r="C141" s="249">
        <f>SUM(C142)</f>
        <v>39000000</v>
      </c>
      <c r="D141" s="249">
        <f t="shared" ref="D141:E141" si="59">SUM(D142)</f>
        <v>38000000</v>
      </c>
      <c r="E141" s="249">
        <f t="shared" si="59"/>
        <v>1000000</v>
      </c>
      <c r="F141" s="7"/>
    </row>
    <row r="142" spans="1:6" ht="31.5">
      <c r="A142" s="280"/>
      <c r="B142" s="323" t="s">
        <v>679</v>
      </c>
      <c r="C142" s="29">
        <f t="shared" si="57"/>
        <v>39000000</v>
      </c>
      <c r="D142" s="29">
        <v>38000000</v>
      </c>
      <c r="E142" s="29">
        <v>1000000</v>
      </c>
      <c r="F142" s="7"/>
    </row>
    <row r="143" spans="1:6">
      <c r="A143" s="280">
        <v>4</v>
      </c>
      <c r="B143" s="322" t="s">
        <v>680</v>
      </c>
      <c r="C143" s="249">
        <f>SUM(C144:C146)</f>
        <v>261000000</v>
      </c>
      <c r="D143" s="249">
        <f t="shared" ref="D143:E143" si="60">SUM(D144:D146)</f>
        <v>249000000</v>
      </c>
      <c r="E143" s="249">
        <f t="shared" si="60"/>
        <v>12000000</v>
      </c>
      <c r="F143" s="7"/>
    </row>
    <row r="144" spans="1:6" ht="31.5">
      <c r="A144" s="280"/>
      <c r="B144" s="324" t="s">
        <v>681</v>
      </c>
      <c r="C144" s="29">
        <f t="shared" si="57"/>
        <v>101000000</v>
      </c>
      <c r="D144" s="29">
        <v>95000000</v>
      </c>
      <c r="E144" s="29">
        <v>6000000</v>
      </c>
      <c r="F144" s="7"/>
    </row>
    <row r="145" spans="1:6" ht="31.5">
      <c r="A145" s="280"/>
      <c r="B145" s="324" t="s">
        <v>682</v>
      </c>
      <c r="C145" s="29">
        <f t="shared" si="57"/>
        <v>80000000</v>
      </c>
      <c r="D145" s="29">
        <v>77000000</v>
      </c>
      <c r="E145" s="29">
        <v>3000000</v>
      </c>
      <c r="F145" s="7"/>
    </row>
    <row r="146" spans="1:6" ht="31.5">
      <c r="A146" s="280"/>
      <c r="B146" s="324" t="s">
        <v>683</v>
      </c>
      <c r="C146" s="29">
        <f t="shared" si="57"/>
        <v>80000000</v>
      </c>
      <c r="D146" s="29">
        <v>77000000</v>
      </c>
      <c r="E146" s="29">
        <v>3000000</v>
      </c>
      <c r="F146" s="7"/>
    </row>
    <row r="147" spans="1:6">
      <c r="A147" s="280">
        <v>5</v>
      </c>
      <c r="B147" s="322" t="s">
        <v>684</v>
      </c>
      <c r="C147" s="249">
        <f>SUM(C148)</f>
        <v>287000000</v>
      </c>
      <c r="D147" s="249">
        <f t="shared" ref="D147:E147" si="61">SUM(D148)</f>
        <v>272000000</v>
      </c>
      <c r="E147" s="249">
        <f t="shared" si="61"/>
        <v>15000000</v>
      </c>
      <c r="F147" s="7"/>
    </row>
    <row r="148" spans="1:6" ht="31.5">
      <c r="A148" s="280"/>
      <c r="B148" s="323" t="s">
        <v>685</v>
      </c>
      <c r="C148" s="29">
        <f t="shared" si="57"/>
        <v>287000000</v>
      </c>
      <c r="D148" s="29">
        <v>272000000</v>
      </c>
      <c r="E148" s="29">
        <v>15000000</v>
      </c>
      <c r="F148" s="7"/>
    </row>
    <row r="149" spans="1:6">
      <c r="A149" s="280">
        <v>6</v>
      </c>
      <c r="B149" s="325" t="s">
        <v>686</v>
      </c>
      <c r="C149" s="249">
        <f>SUM(C150:C151)</f>
        <v>287000000</v>
      </c>
      <c r="D149" s="249">
        <f t="shared" ref="D149:E149" si="62">SUM(D150:D151)</f>
        <v>272000000</v>
      </c>
      <c r="E149" s="249">
        <f t="shared" si="62"/>
        <v>15000000</v>
      </c>
      <c r="F149" s="7"/>
    </row>
    <row r="150" spans="1:6" ht="47.25">
      <c r="A150" s="280"/>
      <c r="B150" s="323" t="s">
        <v>687</v>
      </c>
      <c r="C150" s="29">
        <f t="shared" si="57"/>
        <v>204000000</v>
      </c>
      <c r="D150" s="29">
        <v>194000000</v>
      </c>
      <c r="E150" s="29">
        <v>10000000</v>
      </c>
      <c r="F150" s="7"/>
    </row>
    <row r="151" spans="1:6" ht="31.5">
      <c r="A151" s="280"/>
      <c r="B151" s="323" t="s">
        <v>688</v>
      </c>
      <c r="C151" s="29">
        <f t="shared" si="57"/>
        <v>83000000</v>
      </c>
      <c r="D151" s="29">
        <v>78000000</v>
      </c>
      <c r="E151" s="29">
        <v>5000000</v>
      </c>
      <c r="F151" s="7"/>
    </row>
    <row r="152" spans="1:6">
      <c r="A152" s="280">
        <v>7</v>
      </c>
      <c r="B152" s="322" t="s">
        <v>689</v>
      </c>
      <c r="C152" s="249">
        <f>SUM(C153:C154)</f>
        <v>261000000</v>
      </c>
      <c r="D152" s="249">
        <f t="shared" ref="D152:E152" si="63">SUM(D153:D154)</f>
        <v>249000000</v>
      </c>
      <c r="E152" s="249">
        <f t="shared" si="63"/>
        <v>12000000</v>
      </c>
      <c r="F152" s="7"/>
    </row>
    <row r="153" spans="1:6" ht="31.5">
      <c r="A153" s="280"/>
      <c r="B153" s="323" t="s">
        <v>690</v>
      </c>
      <c r="C153" s="29">
        <f t="shared" si="57"/>
        <v>42000000</v>
      </c>
      <c r="D153" s="29">
        <v>40000000</v>
      </c>
      <c r="E153" s="29">
        <v>2000000</v>
      </c>
      <c r="F153" s="7"/>
    </row>
    <row r="154" spans="1:6" ht="31.5">
      <c r="A154" s="280"/>
      <c r="B154" s="323" t="s">
        <v>691</v>
      </c>
      <c r="C154" s="29">
        <f t="shared" si="57"/>
        <v>219000000</v>
      </c>
      <c r="D154" s="29">
        <v>209000000</v>
      </c>
      <c r="E154" s="29">
        <v>10000000</v>
      </c>
      <c r="F154" s="7"/>
    </row>
    <row r="155" spans="1:6">
      <c r="A155" s="280">
        <v>8</v>
      </c>
      <c r="B155" s="322" t="s">
        <v>692</v>
      </c>
      <c r="C155" s="249">
        <f>SUM(C156:C158)</f>
        <v>287000000</v>
      </c>
      <c r="D155" s="249">
        <f t="shared" ref="D155:E155" si="64">SUM(D156:D158)</f>
        <v>273000000</v>
      </c>
      <c r="E155" s="249">
        <f t="shared" si="64"/>
        <v>14000000</v>
      </c>
      <c r="F155" s="7"/>
    </row>
    <row r="156" spans="1:6" ht="47.25">
      <c r="A156" s="280"/>
      <c r="B156" s="323" t="s">
        <v>693</v>
      </c>
      <c r="C156" s="29">
        <f t="shared" si="57"/>
        <v>129000000</v>
      </c>
      <c r="D156" s="29">
        <v>123000000</v>
      </c>
      <c r="E156" s="29">
        <v>6000000</v>
      </c>
      <c r="F156" s="7"/>
    </row>
    <row r="157" spans="1:6" ht="47.25">
      <c r="A157" s="280"/>
      <c r="B157" s="323" t="s">
        <v>694</v>
      </c>
      <c r="C157" s="29">
        <f t="shared" si="57"/>
        <v>79000000</v>
      </c>
      <c r="D157" s="29">
        <v>75000000</v>
      </c>
      <c r="E157" s="29">
        <v>4000000</v>
      </c>
      <c r="F157" s="7"/>
    </row>
    <row r="158" spans="1:6" ht="47.25">
      <c r="A158" s="280"/>
      <c r="B158" s="323" t="s">
        <v>695</v>
      </c>
      <c r="C158" s="29">
        <f t="shared" si="57"/>
        <v>79000000</v>
      </c>
      <c r="D158" s="29">
        <v>75000000</v>
      </c>
      <c r="E158" s="29">
        <v>4000000</v>
      </c>
      <c r="F158" s="7"/>
    </row>
    <row r="159" spans="1:6">
      <c r="A159" s="280">
        <v>9</v>
      </c>
      <c r="B159" s="322" t="s">
        <v>696</v>
      </c>
      <c r="C159" s="249">
        <f>SUM(C160)</f>
        <v>287000000</v>
      </c>
      <c r="D159" s="249">
        <f t="shared" ref="D159:E159" si="65">SUM(D160)</f>
        <v>272000000</v>
      </c>
      <c r="E159" s="249">
        <f t="shared" si="65"/>
        <v>15000000</v>
      </c>
      <c r="F159" s="7"/>
    </row>
    <row r="160" spans="1:6" ht="31.5">
      <c r="A160" s="280"/>
      <c r="B160" s="323" t="s">
        <v>697</v>
      </c>
      <c r="C160" s="29">
        <f t="shared" si="57"/>
        <v>287000000</v>
      </c>
      <c r="D160" s="29">
        <v>272000000</v>
      </c>
      <c r="E160" s="29">
        <v>15000000</v>
      </c>
      <c r="F160" s="7"/>
    </row>
    <row r="161" spans="1:6">
      <c r="A161" s="280">
        <v>10</v>
      </c>
      <c r="B161" s="322" t="s">
        <v>698</v>
      </c>
      <c r="C161" s="249">
        <f>SUM(C162)</f>
        <v>261000000</v>
      </c>
      <c r="D161" s="249">
        <f t="shared" ref="D161:E161" si="66">SUM(D162)</f>
        <v>249000000</v>
      </c>
      <c r="E161" s="249">
        <f t="shared" si="66"/>
        <v>12000000</v>
      </c>
      <c r="F161" s="7"/>
    </row>
    <row r="162" spans="1:6" ht="47.25">
      <c r="A162" s="280"/>
      <c r="B162" s="315" t="s">
        <v>699</v>
      </c>
      <c r="C162" s="29">
        <f t="shared" si="57"/>
        <v>261000000</v>
      </c>
      <c r="D162" s="29">
        <v>249000000</v>
      </c>
      <c r="E162" s="29">
        <v>12000000</v>
      </c>
      <c r="F162" s="7"/>
    </row>
    <row r="163" spans="1:6">
      <c r="A163" s="280">
        <v>11</v>
      </c>
      <c r="B163" s="322" t="s">
        <v>700</v>
      </c>
      <c r="C163" s="249">
        <f>SUM(C164)</f>
        <v>261000000</v>
      </c>
      <c r="D163" s="249">
        <f t="shared" ref="D163:E163" si="67">SUM(D164)</f>
        <v>249000000</v>
      </c>
      <c r="E163" s="249">
        <f t="shared" si="67"/>
        <v>12000000</v>
      </c>
      <c r="F163" s="7"/>
    </row>
    <row r="164" spans="1:6" ht="47.25">
      <c r="A164" s="280"/>
      <c r="B164" s="323" t="s">
        <v>701</v>
      </c>
      <c r="C164" s="29">
        <f t="shared" si="57"/>
        <v>261000000</v>
      </c>
      <c r="D164" s="29">
        <v>249000000</v>
      </c>
      <c r="E164" s="29">
        <v>12000000</v>
      </c>
      <c r="F164" s="7"/>
    </row>
    <row r="165" spans="1:6">
      <c r="A165" s="280">
        <v>12</v>
      </c>
      <c r="B165" s="322" t="s">
        <v>702</v>
      </c>
      <c r="C165" s="249">
        <f>SUM(C166:C167)</f>
        <v>261000000</v>
      </c>
      <c r="D165" s="249">
        <f t="shared" ref="D165:E165" si="68">SUM(D166:D167)</f>
        <v>249000000</v>
      </c>
      <c r="E165" s="249">
        <f t="shared" si="68"/>
        <v>12000000</v>
      </c>
      <c r="F165" s="7"/>
    </row>
    <row r="166" spans="1:6" ht="31.5">
      <c r="A166" s="280"/>
      <c r="B166" s="323" t="s">
        <v>703</v>
      </c>
      <c r="C166" s="29">
        <f t="shared" si="57"/>
        <v>86000000</v>
      </c>
      <c r="D166" s="29">
        <v>82000000</v>
      </c>
      <c r="E166" s="29">
        <v>4000000</v>
      </c>
      <c r="F166" s="7"/>
    </row>
    <row r="167" spans="1:6" ht="31.5">
      <c r="A167" s="280"/>
      <c r="B167" s="323" t="s">
        <v>704</v>
      </c>
      <c r="C167" s="29">
        <f t="shared" si="57"/>
        <v>175000000</v>
      </c>
      <c r="D167" s="29">
        <v>167000000</v>
      </c>
      <c r="E167" s="29">
        <v>8000000</v>
      </c>
      <c r="F167" s="7"/>
    </row>
    <row r="168" spans="1:6">
      <c r="A168" s="280">
        <v>13</v>
      </c>
      <c r="B168" s="322" t="s">
        <v>705</v>
      </c>
      <c r="C168" s="249">
        <f>SUM(C169:C171)</f>
        <v>117000000</v>
      </c>
      <c r="D168" s="249">
        <f t="shared" ref="D168:E168" si="69">SUM(D169:D171)</f>
        <v>111000000</v>
      </c>
      <c r="E168" s="249">
        <f t="shared" si="69"/>
        <v>6000000</v>
      </c>
      <c r="F168" s="7"/>
    </row>
    <row r="169" spans="1:6" ht="47.25">
      <c r="A169" s="280"/>
      <c r="B169" s="323" t="s">
        <v>706</v>
      </c>
      <c r="C169" s="29">
        <f t="shared" si="57"/>
        <v>39000000</v>
      </c>
      <c r="D169" s="29">
        <v>37000000</v>
      </c>
      <c r="E169" s="29">
        <v>2000000</v>
      </c>
      <c r="F169" s="7"/>
    </row>
    <row r="170" spans="1:6" ht="31.5">
      <c r="A170" s="280"/>
      <c r="B170" s="323" t="s">
        <v>707</v>
      </c>
      <c r="C170" s="29">
        <f t="shared" si="57"/>
        <v>39000000</v>
      </c>
      <c r="D170" s="29">
        <v>37000000</v>
      </c>
      <c r="E170" s="29">
        <v>2000000</v>
      </c>
      <c r="F170" s="7"/>
    </row>
    <row r="171" spans="1:6" ht="31.5">
      <c r="A171" s="280"/>
      <c r="B171" s="323" t="s">
        <v>708</v>
      </c>
      <c r="C171" s="29">
        <f t="shared" si="57"/>
        <v>39000000</v>
      </c>
      <c r="D171" s="29">
        <v>37000000</v>
      </c>
      <c r="E171" s="29">
        <v>2000000</v>
      </c>
      <c r="F171" s="7"/>
    </row>
    <row r="172" spans="1:6">
      <c r="A172" s="280">
        <v>14</v>
      </c>
      <c r="B172" s="325" t="s">
        <v>709</v>
      </c>
      <c r="C172" s="249">
        <f>SUM(C173)</f>
        <v>260000000</v>
      </c>
      <c r="D172" s="249">
        <f t="shared" ref="D172:E172" si="70">SUM(D173)</f>
        <v>248000000</v>
      </c>
      <c r="E172" s="249">
        <f t="shared" si="70"/>
        <v>12000000</v>
      </c>
      <c r="F172" s="7"/>
    </row>
    <row r="173" spans="1:6" ht="31.5">
      <c r="A173" s="280"/>
      <c r="B173" s="323" t="s">
        <v>710</v>
      </c>
      <c r="C173" s="29">
        <f t="shared" si="57"/>
        <v>260000000</v>
      </c>
      <c r="D173" s="29">
        <v>248000000</v>
      </c>
      <c r="E173" s="29">
        <v>12000000</v>
      </c>
      <c r="F173" s="7"/>
    </row>
    <row r="174" spans="1:6">
      <c r="A174" s="280">
        <v>15</v>
      </c>
      <c r="B174" s="322" t="s">
        <v>711</v>
      </c>
      <c r="C174" s="249">
        <f>SUM(C175:C176)</f>
        <v>261000000</v>
      </c>
      <c r="D174" s="249">
        <f t="shared" ref="D174:E174" si="71">SUM(D175:D176)</f>
        <v>249000000</v>
      </c>
      <c r="E174" s="249">
        <f t="shared" si="71"/>
        <v>12000000</v>
      </c>
      <c r="F174" s="7"/>
    </row>
    <row r="175" spans="1:6" ht="31.5">
      <c r="A175" s="280"/>
      <c r="B175" s="323" t="s">
        <v>712</v>
      </c>
      <c r="C175" s="29">
        <f t="shared" si="57"/>
        <v>146000000</v>
      </c>
      <c r="D175" s="29">
        <v>139000000</v>
      </c>
      <c r="E175" s="29">
        <v>7000000</v>
      </c>
      <c r="F175" s="7"/>
    </row>
    <row r="176" spans="1:6" ht="31.5">
      <c r="A176" s="280"/>
      <c r="B176" s="323" t="s">
        <v>713</v>
      </c>
      <c r="C176" s="29">
        <f t="shared" si="57"/>
        <v>115000000</v>
      </c>
      <c r="D176" s="29">
        <v>110000000</v>
      </c>
      <c r="E176" s="29">
        <v>5000000</v>
      </c>
      <c r="F176" s="7"/>
    </row>
    <row r="177" spans="1:6">
      <c r="A177" s="280">
        <v>16</v>
      </c>
      <c r="B177" s="322" t="s">
        <v>714</v>
      </c>
      <c r="C177" s="249">
        <f>SUM(C178)</f>
        <v>261000000</v>
      </c>
      <c r="D177" s="249">
        <f t="shared" ref="D177:E177" si="72">SUM(D178)</f>
        <v>249000000</v>
      </c>
      <c r="E177" s="249">
        <f t="shared" si="72"/>
        <v>12000000</v>
      </c>
      <c r="F177" s="7"/>
    </row>
    <row r="178" spans="1:6" ht="47.25">
      <c r="A178" s="280"/>
      <c r="B178" s="323" t="s">
        <v>715</v>
      </c>
      <c r="C178" s="29">
        <f t="shared" si="57"/>
        <v>261000000</v>
      </c>
      <c r="D178" s="29">
        <v>249000000</v>
      </c>
      <c r="E178" s="29">
        <v>12000000</v>
      </c>
      <c r="F178" s="7"/>
    </row>
    <row r="179" spans="1:6">
      <c r="A179" s="280">
        <v>17</v>
      </c>
      <c r="B179" s="322" t="s">
        <v>716</v>
      </c>
      <c r="C179" s="249">
        <f>SUM(C180:C182)</f>
        <v>117000000</v>
      </c>
      <c r="D179" s="249">
        <f>SUM(D180:D182)</f>
        <v>111000000</v>
      </c>
      <c r="E179" s="249">
        <f>SUM(E180:E182)</f>
        <v>6000000</v>
      </c>
      <c r="F179" s="7"/>
    </row>
    <row r="180" spans="1:6" ht="31.5">
      <c r="A180" s="280"/>
      <c r="B180" s="323" t="s">
        <v>717</v>
      </c>
      <c r="C180" s="29">
        <f t="shared" si="57"/>
        <v>39000000</v>
      </c>
      <c r="D180" s="29">
        <v>37000000</v>
      </c>
      <c r="E180" s="29">
        <v>2000000</v>
      </c>
      <c r="F180" s="7"/>
    </row>
    <row r="181" spans="1:6" ht="31.5">
      <c r="A181" s="280"/>
      <c r="B181" s="323" t="s">
        <v>718</v>
      </c>
      <c r="C181" s="29">
        <f t="shared" si="57"/>
        <v>39000000</v>
      </c>
      <c r="D181" s="29">
        <v>37000000</v>
      </c>
      <c r="E181" s="29">
        <v>2000000</v>
      </c>
      <c r="F181" s="7"/>
    </row>
    <row r="182" spans="1:6" ht="31.5">
      <c r="A182" s="280"/>
      <c r="B182" s="323" t="s">
        <v>719</v>
      </c>
      <c r="C182" s="29">
        <f t="shared" si="57"/>
        <v>39000000</v>
      </c>
      <c r="D182" s="29">
        <v>37000000</v>
      </c>
      <c r="E182" s="29">
        <v>2000000</v>
      </c>
      <c r="F182" s="7"/>
    </row>
    <row r="183" spans="1:6">
      <c r="A183" s="245" t="s">
        <v>74</v>
      </c>
      <c r="B183" s="246" t="s">
        <v>81</v>
      </c>
      <c r="C183" s="247">
        <f>C184+C186</f>
        <v>2746613197</v>
      </c>
      <c r="D183" s="247">
        <f t="shared" ref="D183:E183" si="73">D184+D186</f>
        <v>2606599170</v>
      </c>
      <c r="E183" s="247">
        <f t="shared" si="73"/>
        <v>140014027</v>
      </c>
      <c r="F183" s="246"/>
    </row>
    <row r="184" spans="1:6">
      <c r="A184" s="302" t="s">
        <v>28</v>
      </c>
      <c r="B184" s="306" t="s">
        <v>720</v>
      </c>
      <c r="C184" s="312">
        <f>C185</f>
        <v>175613197</v>
      </c>
      <c r="D184" s="312">
        <f t="shared" ref="D184:E184" si="74">D185</f>
        <v>157599170</v>
      </c>
      <c r="E184" s="312">
        <f t="shared" si="74"/>
        <v>18014027</v>
      </c>
      <c r="F184" s="305"/>
    </row>
    <row r="185" spans="1:6">
      <c r="A185" s="280"/>
      <c r="B185" s="326" t="s">
        <v>561</v>
      </c>
      <c r="C185" s="29">
        <f>SUM(D185:E185)</f>
        <v>175613197</v>
      </c>
      <c r="D185" s="254">
        <v>157599170</v>
      </c>
      <c r="E185" s="254">
        <v>18014027</v>
      </c>
      <c r="F185" s="7"/>
    </row>
    <row r="186" spans="1:6">
      <c r="A186" s="302" t="s">
        <v>29</v>
      </c>
      <c r="B186" s="306" t="s">
        <v>613</v>
      </c>
      <c r="C186" s="327">
        <f>C187+C190+C193+C195+C197+C200+C203+C206+C209+C212</f>
        <v>2571000000</v>
      </c>
      <c r="D186" s="327">
        <f t="shared" ref="D186:E186" si="75">D187+D190+D193+D195+D197+D200+D203+D206+D209+D212</f>
        <v>2449000000</v>
      </c>
      <c r="E186" s="327">
        <f t="shared" si="75"/>
        <v>122000000</v>
      </c>
      <c r="F186" s="305"/>
    </row>
    <row r="187" spans="1:6">
      <c r="A187" s="280">
        <v>1</v>
      </c>
      <c r="B187" s="328" t="s">
        <v>560</v>
      </c>
      <c r="C187" s="28">
        <f>SUM(C188:C189)</f>
        <v>510000000</v>
      </c>
      <c r="D187" s="28">
        <f t="shared" ref="D187:E187" si="76">SUM(D188:D189)</f>
        <v>485800000</v>
      </c>
      <c r="E187" s="28">
        <f t="shared" si="76"/>
        <v>24200000</v>
      </c>
      <c r="F187" s="7"/>
    </row>
    <row r="188" spans="1:6">
      <c r="A188" s="280"/>
      <c r="B188" s="329" t="s">
        <v>721</v>
      </c>
      <c r="C188" s="29">
        <f t="shared" ref="C188:C213" si="77">SUM(D188:E188)</f>
        <v>200000000</v>
      </c>
      <c r="D188" s="330">
        <v>190500000</v>
      </c>
      <c r="E188" s="330">
        <v>9500000</v>
      </c>
      <c r="F188" s="7"/>
    </row>
    <row r="189" spans="1:6">
      <c r="A189" s="280"/>
      <c r="B189" s="329" t="s">
        <v>722</v>
      </c>
      <c r="C189" s="29">
        <f t="shared" si="77"/>
        <v>310000000</v>
      </c>
      <c r="D189" s="330">
        <v>295300000</v>
      </c>
      <c r="E189" s="330">
        <v>14700000</v>
      </c>
      <c r="F189" s="7"/>
    </row>
    <row r="190" spans="1:6">
      <c r="A190" s="280">
        <v>2</v>
      </c>
      <c r="B190" s="328" t="s">
        <v>563</v>
      </c>
      <c r="C190" s="28">
        <f>SUM(C191:C192)</f>
        <v>270000000</v>
      </c>
      <c r="D190" s="28">
        <f t="shared" ref="D190:E190" si="78">SUM(D191:D192)</f>
        <v>257200000</v>
      </c>
      <c r="E190" s="28">
        <f t="shared" si="78"/>
        <v>12800000</v>
      </c>
      <c r="F190" s="7"/>
    </row>
    <row r="191" spans="1:6">
      <c r="A191" s="280"/>
      <c r="B191" s="331" t="s">
        <v>723</v>
      </c>
      <c r="C191" s="29">
        <f t="shared" si="77"/>
        <v>135000000</v>
      </c>
      <c r="D191" s="330">
        <v>128600000</v>
      </c>
      <c r="E191" s="330">
        <v>6400000</v>
      </c>
      <c r="F191" s="7"/>
    </row>
    <row r="192" spans="1:6">
      <c r="A192" s="280"/>
      <c r="B192" s="331" t="s">
        <v>724</v>
      </c>
      <c r="C192" s="29">
        <f t="shared" si="77"/>
        <v>135000000</v>
      </c>
      <c r="D192" s="330">
        <v>128600000</v>
      </c>
      <c r="E192" s="330">
        <v>6400000</v>
      </c>
      <c r="F192" s="7"/>
    </row>
    <row r="193" spans="1:6">
      <c r="A193" s="280">
        <v>3</v>
      </c>
      <c r="B193" s="332" t="s">
        <v>725</v>
      </c>
      <c r="C193" s="28">
        <f>C194</f>
        <v>239000000</v>
      </c>
      <c r="D193" s="28">
        <f t="shared" ref="D193:E193" si="79">D194</f>
        <v>227700000</v>
      </c>
      <c r="E193" s="28">
        <f t="shared" si="79"/>
        <v>11300000</v>
      </c>
      <c r="F193" s="7"/>
    </row>
    <row r="194" spans="1:6">
      <c r="A194" s="280"/>
      <c r="B194" s="329" t="s">
        <v>726</v>
      </c>
      <c r="C194" s="29">
        <f t="shared" si="77"/>
        <v>239000000</v>
      </c>
      <c r="D194" s="333">
        <v>227700000</v>
      </c>
      <c r="E194" s="333">
        <v>11300000</v>
      </c>
      <c r="F194" s="7"/>
    </row>
    <row r="195" spans="1:6">
      <c r="A195" s="280">
        <v>4</v>
      </c>
      <c r="B195" s="328" t="s">
        <v>727</v>
      </c>
      <c r="C195" s="28">
        <f>C196</f>
        <v>75000000</v>
      </c>
      <c r="D195" s="28">
        <f t="shared" ref="D195:E195" si="80">D196</f>
        <v>71400000</v>
      </c>
      <c r="E195" s="28">
        <f t="shared" si="80"/>
        <v>3600000</v>
      </c>
      <c r="F195" s="7"/>
    </row>
    <row r="196" spans="1:6">
      <c r="A196" s="280"/>
      <c r="B196" s="334" t="s">
        <v>728</v>
      </c>
      <c r="C196" s="29">
        <f t="shared" si="77"/>
        <v>75000000</v>
      </c>
      <c r="D196" s="330">
        <v>71400000</v>
      </c>
      <c r="E196" s="333">
        <v>3600000</v>
      </c>
      <c r="F196" s="7"/>
    </row>
    <row r="197" spans="1:6">
      <c r="A197" s="280">
        <v>5</v>
      </c>
      <c r="B197" s="328" t="s">
        <v>729</v>
      </c>
      <c r="C197" s="28">
        <f>SUM(C198:C199)</f>
        <v>200000000</v>
      </c>
      <c r="D197" s="28">
        <f t="shared" ref="D197:E197" si="81">SUM(D198:D199)</f>
        <v>190400000</v>
      </c>
      <c r="E197" s="28">
        <f t="shared" si="81"/>
        <v>9600000</v>
      </c>
      <c r="F197" s="7"/>
    </row>
    <row r="198" spans="1:6" ht="31.5">
      <c r="A198" s="280"/>
      <c r="B198" s="329" t="s">
        <v>730</v>
      </c>
      <c r="C198" s="29">
        <f t="shared" si="77"/>
        <v>100000000</v>
      </c>
      <c r="D198" s="330">
        <v>95200000</v>
      </c>
      <c r="E198" s="333">
        <v>4800000</v>
      </c>
      <c r="F198" s="7"/>
    </row>
    <row r="199" spans="1:6" ht="31.5">
      <c r="A199" s="280"/>
      <c r="B199" s="329" t="s">
        <v>731</v>
      </c>
      <c r="C199" s="29">
        <f t="shared" si="77"/>
        <v>100000000</v>
      </c>
      <c r="D199" s="330">
        <v>95200000</v>
      </c>
      <c r="E199" s="333">
        <v>4800000</v>
      </c>
      <c r="F199" s="7"/>
    </row>
    <row r="200" spans="1:6">
      <c r="A200" s="280">
        <v>6</v>
      </c>
      <c r="B200" s="328" t="s">
        <v>559</v>
      </c>
      <c r="C200" s="28">
        <f>SUM(C201:C202)</f>
        <v>360000000</v>
      </c>
      <c r="D200" s="28">
        <f t="shared" ref="D200:E200" si="82">SUM(D201:D202)</f>
        <v>343000000</v>
      </c>
      <c r="E200" s="28">
        <f t="shared" si="82"/>
        <v>17000000</v>
      </c>
      <c r="F200" s="7"/>
    </row>
    <row r="201" spans="1:6" ht="31.5">
      <c r="A201" s="280"/>
      <c r="B201" s="331" t="s">
        <v>732</v>
      </c>
      <c r="C201" s="29">
        <f t="shared" si="77"/>
        <v>180000000</v>
      </c>
      <c r="D201" s="330">
        <v>171500000</v>
      </c>
      <c r="E201" s="333">
        <v>8500000</v>
      </c>
      <c r="F201" s="7"/>
    </row>
    <row r="202" spans="1:6" ht="31.5">
      <c r="A202" s="280"/>
      <c r="B202" s="331" t="s">
        <v>733</v>
      </c>
      <c r="C202" s="29">
        <f t="shared" si="77"/>
        <v>180000000</v>
      </c>
      <c r="D202" s="330">
        <v>171500000</v>
      </c>
      <c r="E202" s="333">
        <v>8500000</v>
      </c>
      <c r="F202" s="7"/>
    </row>
    <row r="203" spans="1:6">
      <c r="A203" s="280">
        <v>7</v>
      </c>
      <c r="B203" s="328" t="s">
        <v>565</v>
      </c>
      <c r="C203" s="28">
        <f>SUM(C204:C205)</f>
        <v>300000000</v>
      </c>
      <c r="D203" s="28">
        <f t="shared" ref="D203:E203" si="83">SUM(D204:D205)</f>
        <v>285800000</v>
      </c>
      <c r="E203" s="28">
        <f t="shared" si="83"/>
        <v>14200000</v>
      </c>
      <c r="F203" s="7"/>
    </row>
    <row r="204" spans="1:6">
      <c r="A204" s="280"/>
      <c r="B204" s="335" t="s">
        <v>734</v>
      </c>
      <c r="C204" s="29">
        <f t="shared" si="77"/>
        <v>150000000</v>
      </c>
      <c r="D204" s="330">
        <v>142900000</v>
      </c>
      <c r="E204" s="333">
        <v>7100000</v>
      </c>
      <c r="F204" s="7"/>
    </row>
    <row r="205" spans="1:6">
      <c r="A205" s="280"/>
      <c r="B205" s="335" t="s">
        <v>735</v>
      </c>
      <c r="C205" s="29">
        <f t="shared" si="77"/>
        <v>150000000</v>
      </c>
      <c r="D205" s="330">
        <v>142900000</v>
      </c>
      <c r="E205" s="333">
        <v>7100000</v>
      </c>
      <c r="F205" s="7"/>
    </row>
    <row r="206" spans="1:6">
      <c r="A206" s="280">
        <v>8</v>
      </c>
      <c r="B206" s="336" t="s">
        <v>736</v>
      </c>
      <c r="C206" s="28">
        <f>SUM(C207:C208)</f>
        <v>230000000</v>
      </c>
      <c r="D206" s="28">
        <f t="shared" ref="D206:E206" si="84">SUM(D207:D208)</f>
        <v>219100000</v>
      </c>
      <c r="E206" s="28">
        <f t="shared" si="84"/>
        <v>10900000</v>
      </c>
      <c r="F206" s="7"/>
    </row>
    <row r="207" spans="1:6">
      <c r="A207" s="280"/>
      <c r="B207" s="335" t="s">
        <v>737</v>
      </c>
      <c r="C207" s="29">
        <f t="shared" si="77"/>
        <v>80000000</v>
      </c>
      <c r="D207" s="330">
        <v>76200000</v>
      </c>
      <c r="E207" s="333">
        <v>3800000</v>
      </c>
      <c r="F207" s="7"/>
    </row>
    <row r="208" spans="1:6" ht="31.5">
      <c r="A208" s="280"/>
      <c r="B208" s="335" t="s">
        <v>738</v>
      </c>
      <c r="C208" s="29">
        <f t="shared" si="77"/>
        <v>150000000</v>
      </c>
      <c r="D208" s="330">
        <v>142900000</v>
      </c>
      <c r="E208" s="333">
        <v>7100000</v>
      </c>
      <c r="F208" s="7"/>
    </row>
    <row r="209" spans="1:6">
      <c r="A209" s="280">
        <v>9</v>
      </c>
      <c r="B209" s="336" t="s">
        <v>739</v>
      </c>
      <c r="C209" s="28">
        <f>SUM(C210:C211)</f>
        <v>300000000</v>
      </c>
      <c r="D209" s="28">
        <f t="shared" ref="D209:E209" si="85">SUM(D210:D211)</f>
        <v>285800000</v>
      </c>
      <c r="E209" s="28">
        <f t="shared" si="85"/>
        <v>14200000</v>
      </c>
      <c r="F209" s="7"/>
    </row>
    <row r="210" spans="1:6">
      <c r="A210" s="280"/>
      <c r="B210" s="329" t="s">
        <v>740</v>
      </c>
      <c r="C210" s="29">
        <f t="shared" si="77"/>
        <v>150000000</v>
      </c>
      <c r="D210" s="330">
        <v>142900000</v>
      </c>
      <c r="E210" s="333">
        <v>7100000</v>
      </c>
      <c r="F210" s="7"/>
    </row>
    <row r="211" spans="1:6">
      <c r="A211" s="280"/>
      <c r="B211" s="329" t="s">
        <v>741</v>
      </c>
      <c r="C211" s="29">
        <f t="shared" si="77"/>
        <v>150000000</v>
      </c>
      <c r="D211" s="330">
        <v>142900000</v>
      </c>
      <c r="E211" s="333">
        <v>7100000</v>
      </c>
      <c r="F211" s="7"/>
    </row>
    <row r="212" spans="1:6">
      <c r="A212" s="280">
        <v>10</v>
      </c>
      <c r="B212" s="337" t="s">
        <v>742</v>
      </c>
      <c r="C212" s="28">
        <f>C213</f>
        <v>87000000</v>
      </c>
      <c r="D212" s="28">
        <f t="shared" ref="D212:E212" si="86">D213</f>
        <v>82800000</v>
      </c>
      <c r="E212" s="28">
        <f t="shared" si="86"/>
        <v>4200000</v>
      </c>
      <c r="F212" s="7"/>
    </row>
    <row r="213" spans="1:6">
      <c r="A213" s="5"/>
      <c r="B213" s="329" t="s">
        <v>743</v>
      </c>
      <c r="C213" s="29">
        <f t="shared" si="77"/>
        <v>87000000</v>
      </c>
      <c r="D213" s="29">
        <v>82800000</v>
      </c>
      <c r="E213" s="333">
        <v>4200000</v>
      </c>
      <c r="F213" s="7"/>
    </row>
    <row r="214" spans="1:6" s="360" customFormat="1">
      <c r="A214" s="46" t="s">
        <v>75</v>
      </c>
      <c r="B214" s="48" t="s">
        <v>346</v>
      </c>
      <c r="C214" s="633">
        <f>C215+C217+C219+C222+C224+C226+C229+C231+C233+C235</f>
        <v>2430000000</v>
      </c>
      <c r="D214" s="633">
        <f>D215+D217+D219+D222+D224+D226+D229+D231+D233+D235</f>
        <v>2314000000</v>
      </c>
      <c r="E214" s="633">
        <f>E215+E217+E219+E222+E224+E226+E229+E231+E233+E235</f>
        <v>116000000</v>
      </c>
      <c r="F214" s="633"/>
    </row>
    <row r="215" spans="1:6" s="361" customFormat="1">
      <c r="A215" s="634">
        <v>1</v>
      </c>
      <c r="B215" s="635" t="s">
        <v>753</v>
      </c>
      <c r="C215" s="636">
        <f>SUM(C216)</f>
        <v>229000000</v>
      </c>
      <c r="D215" s="636">
        <f t="shared" ref="D215:E215" si="87">SUM(D216)</f>
        <v>218000000</v>
      </c>
      <c r="E215" s="636">
        <f t="shared" si="87"/>
        <v>11000000</v>
      </c>
      <c r="F215" s="219"/>
    </row>
    <row r="216" spans="1:6" s="361" customFormat="1" ht="31.5">
      <c r="A216" s="637"/>
      <c r="B216" s="638" t="s">
        <v>806</v>
      </c>
      <c r="C216" s="639">
        <f>SUM(D216:E216)</f>
        <v>229000000</v>
      </c>
      <c r="D216" s="639">
        <v>218000000</v>
      </c>
      <c r="E216" s="639">
        <v>11000000</v>
      </c>
      <c r="F216" s="219"/>
    </row>
    <row r="217" spans="1:6" s="360" customFormat="1">
      <c r="A217" s="634">
        <v>2</v>
      </c>
      <c r="B217" s="635" t="s">
        <v>757</v>
      </c>
      <c r="C217" s="636">
        <f>C218</f>
        <v>242000000</v>
      </c>
      <c r="D217" s="636">
        <f t="shared" ref="D217:E217" si="88">D218</f>
        <v>231000000</v>
      </c>
      <c r="E217" s="636">
        <f t="shared" si="88"/>
        <v>11000000</v>
      </c>
      <c r="F217" s="640"/>
    </row>
    <row r="218" spans="1:6" s="361" customFormat="1">
      <c r="A218" s="637"/>
      <c r="B218" s="638" t="s">
        <v>807</v>
      </c>
      <c r="C218" s="639">
        <f>SUM(D218:E218)</f>
        <v>242000000</v>
      </c>
      <c r="D218" s="639">
        <v>231000000</v>
      </c>
      <c r="E218" s="639">
        <v>11000000</v>
      </c>
      <c r="F218" s="219"/>
    </row>
    <row r="219" spans="1:6" s="360" customFormat="1">
      <c r="A219" s="634">
        <v>3</v>
      </c>
      <c r="B219" s="635" t="s">
        <v>759</v>
      </c>
      <c r="C219" s="636">
        <f>SUM(C220:C221)</f>
        <v>249000000</v>
      </c>
      <c r="D219" s="636">
        <f t="shared" ref="D219:E219" si="89">SUM(D220:D221)</f>
        <v>237000000</v>
      </c>
      <c r="E219" s="636">
        <f t="shared" si="89"/>
        <v>12000000</v>
      </c>
      <c r="F219" s="640"/>
    </row>
    <row r="220" spans="1:6" s="361" customFormat="1">
      <c r="A220" s="637"/>
      <c r="B220" s="638" t="s">
        <v>808</v>
      </c>
      <c r="C220" s="639">
        <f>SUM(D220:E220)</f>
        <v>123000000</v>
      </c>
      <c r="D220" s="641">
        <v>117000000</v>
      </c>
      <c r="E220" s="641">
        <v>6000000</v>
      </c>
      <c r="F220" s="219"/>
    </row>
    <row r="221" spans="1:6" s="361" customFormat="1">
      <c r="A221" s="637"/>
      <c r="B221" s="638" t="s">
        <v>809</v>
      </c>
      <c r="C221" s="639">
        <f>SUM(D221:E221)</f>
        <v>126000000</v>
      </c>
      <c r="D221" s="639">
        <v>120000000</v>
      </c>
      <c r="E221" s="641">
        <v>6000000</v>
      </c>
      <c r="F221" s="219"/>
    </row>
    <row r="222" spans="1:6" s="361" customFormat="1">
      <c r="A222" s="634">
        <v>4</v>
      </c>
      <c r="B222" s="635" t="s">
        <v>767</v>
      </c>
      <c r="C222" s="636">
        <f>SUM(C223)</f>
        <v>252000000</v>
      </c>
      <c r="D222" s="636">
        <f t="shared" ref="D222:E222" si="90">SUM(D223)</f>
        <v>240000000</v>
      </c>
      <c r="E222" s="636">
        <f t="shared" si="90"/>
        <v>12000000</v>
      </c>
      <c r="F222" s="219"/>
    </row>
    <row r="223" spans="1:6" s="361" customFormat="1">
      <c r="A223" s="637"/>
      <c r="B223" s="638" t="s">
        <v>810</v>
      </c>
      <c r="C223" s="639">
        <f>SUM(D223:E223)</f>
        <v>252000000</v>
      </c>
      <c r="D223" s="639">
        <v>240000000</v>
      </c>
      <c r="E223" s="639">
        <v>12000000</v>
      </c>
      <c r="F223" s="219"/>
    </row>
    <row r="224" spans="1:6" s="361" customFormat="1">
      <c r="A224" s="634">
        <v>5</v>
      </c>
      <c r="B224" s="635" t="s">
        <v>784</v>
      </c>
      <c r="C224" s="636">
        <f>C225</f>
        <v>243000000</v>
      </c>
      <c r="D224" s="636">
        <f t="shared" ref="D224:E224" si="91">D225</f>
        <v>231000000</v>
      </c>
      <c r="E224" s="636">
        <f t="shared" si="91"/>
        <v>12000000</v>
      </c>
      <c r="F224" s="219"/>
    </row>
    <row r="225" spans="1:6" s="361" customFormat="1">
      <c r="A225" s="637"/>
      <c r="B225" s="638" t="s">
        <v>811</v>
      </c>
      <c r="C225" s="639">
        <f>SUM(D225:E225)</f>
        <v>243000000</v>
      </c>
      <c r="D225" s="639">
        <v>231000000</v>
      </c>
      <c r="E225" s="639">
        <v>12000000</v>
      </c>
      <c r="F225" s="219"/>
    </row>
    <row r="226" spans="1:6" s="361" customFormat="1">
      <c r="A226" s="634">
        <v>6</v>
      </c>
      <c r="B226" s="635" t="s">
        <v>762</v>
      </c>
      <c r="C226" s="636">
        <f>SUM(C227:C228)</f>
        <v>242000000</v>
      </c>
      <c r="D226" s="636">
        <f t="shared" ref="D226:E226" si="92">SUM(D227:D228)</f>
        <v>230000000</v>
      </c>
      <c r="E226" s="636">
        <f t="shared" si="92"/>
        <v>12000000</v>
      </c>
      <c r="F226" s="219"/>
    </row>
    <row r="227" spans="1:6" s="361" customFormat="1">
      <c r="A227" s="637"/>
      <c r="B227" s="313" t="s">
        <v>812</v>
      </c>
      <c r="C227" s="639">
        <f>SUM(D227:E227)</f>
        <v>180000000</v>
      </c>
      <c r="D227" s="639">
        <v>172000000</v>
      </c>
      <c r="E227" s="639">
        <v>8000000</v>
      </c>
      <c r="F227" s="219"/>
    </row>
    <row r="228" spans="1:6" s="361" customFormat="1" ht="31.5">
      <c r="A228" s="637"/>
      <c r="B228" s="313" t="s">
        <v>813</v>
      </c>
      <c r="C228" s="639">
        <f>SUM(D228:E228)</f>
        <v>62000000</v>
      </c>
      <c r="D228" s="639">
        <v>58000000</v>
      </c>
      <c r="E228" s="639">
        <v>4000000</v>
      </c>
      <c r="F228" s="219"/>
    </row>
    <row r="229" spans="1:6" s="361" customFormat="1">
      <c r="A229" s="634">
        <v>7</v>
      </c>
      <c r="B229" s="635" t="s">
        <v>763</v>
      </c>
      <c r="C229" s="636">
        <f>C230</f>
        <v>229000000</v>
      </c>
      <c r="D229" s="636">
        <f t="shared" ref="D229:E229" si="93">D230</f>
        <v>218000000</v>
      </c>
      <c r="E229" s="636">
        <f t="shared" si="93"/>
        <v>11000000</v>
      </c>
      <c r="F229" s="219"/>
    </row>
    <row r="230" spans="1:6" s="361" customFormat="1" ht="31.5">
      <c r="A230" s="642"/>
      <c r="B230" s="37" t="s">
        <v>814</v>
      </c>
      <c r="C230" s="639">
        <f>SUM(D230:E230)</f>
        <v>229000000</v>
      </c>
      <c r="D230" s="639">
        <v>218000000</v>
      </c>
      <c r="E230" s="639">
        <v>11000000</v>
      </c>
      <c r="F230" s="219"/>
    </row>
    <row r="231" spans="1:6" s="361" customFormat="1">
      <c r="A231" s="634">
        <v>8</v>
      </c>
      <c r="B231" s="635" t="s">
        <v>792</v>
      </c>
      <c r="C231" s="636">
        <f>SUM(C232)</f>
        <v>241000000</v>
      </c>
      <c r="D231" s="636">
        <f t="shared" ref="D231:E231" si="94">SUM(D232)</f>
        <v>230000000</v>
      </c>
      <c r="E231" s="636">
        <f t="shared" si="94"/>
        <v>11000000</v>
      </c>
      <c r="F231" s="219"/>
    </row>
    <row r="232" spans="1:6" s="361" customFormat="1">
      <c r="A232" s="637"/>
      <c r="B232" s="638" t="s">
        <v>815</v>
      </c>
      <c r="C232" s="639">
        <f>SUM(D232:E232)</f>
        <v>241000000</v>
      </c>
      <c r="D232" s="639">
        <v>230000000</v>
      </c>
      <c r="E232" s="639">
        <v>11000000</v>
      </c>
      <c r="F232" s="219"/>
    </row>
    <row r="233" spans="1:6" s="361" customFormat="1">
      <c r="A233" s="634">
        <v>9</v>
      </c>
      <c r="B233" s="635" t="s">
        <v>770</v>
      </c>
      <c r="C233" s="636">
        <f>C234</f>
        <v>252000000</v>
      </c>
      <c r="D233" s="636">
        <f t="shared" ref="D233:E233" si="95">D234</f>
        <v>240000000</v>
      </c>
      <c r="E233" s="636">
        <f t="shared" si="95"/>
        <v>12000000</v>
      </c>
      <c r="F233" s="219"/>
    </row>
    <row r="234" spans="1:6" s="361" customFormat="1" ht="31.5">
      <c r="A234" s="637"/>
      <c r="B234" s="638" t="s">
        <v>816</v>
      </c>
      <c r="C234" s="639">
        <f>SUM(D234:E234)</f>
        <v>252000000</v>
      </c>
      <c r="D234" s="639">
        <v>240000000</v>
      </c>
      <c r="E234" s="639">
        <v>12000000</v>
      </c>
      <c r="F234" s="219"/>
    </row>
    <row r="235" spans="1:6" s="360" customFormat="1">
      <c r="A235" s="634">
        <v>10</v>
      </c>
      <c r="B235" s="635" t="s">
        <v>773</v>
      </c>
      <c r="C235" s="636">
        <f>SUM(C236)</f>
        <v>251000000</v>
      </c>
      <c r="D235" s="636">
        <f t="shared" ref="D235:E235" si="96">SUM(D236)</f>
        <v>239000000</v>
      </c>
      <c r="E235" s="636">
        <f t="shared" si="96"/>
        <v>12000000</v>
      </c>
      <c r="F235" s="640"/>
    </row>
    <row r="236" spans="1:6" s="361" customFormat="1">
      <c r="A236" s="637"/>
      <c r="B236" s="638" t="s">
        <v>817</v>
      </c>
      <c r="C236" s="639">
        <f>SUM(D236:E236)</f>
        <v>251000000</v>
      </c>
      <c r="D236" s="639">
        <v>239000000</v>
      </c>
      <c r="E236" s="639">
        <v>12000000</v>
      </c>
      <c r="F236" s="219"/>
    </row>
    <row r="237" spans="1:6" s="360" customFormat="1">
      <c r="A237" s="46" t="s">
        <v>345</v>
      </c>
      <c r="B237" s="48" t="s">
        <v>340</v>
      </c>
      <c r="C237" s="633">
        <f>C238+C241+C244+C246+C248+C250+C252+C254+C256+C258+C260+C262+C264+C268</f>
        <v>3099000000</v>
      </c>
      <c r="D237" s="633">
        <f t="shared" ref="D237:E237" si="97">D238+D241+D244+D246+D248+D250+D252+D254+D256+D258+D260+D262+D264+D268</f>
        <v>2951000000</v>
      </c>
      <c r="E237" s="633">
        <f t="shared" si="97"/>
        <v>148000000</v>
      </c>
      <c r="F237" s="633"/>
    </row>
    <row r="238" spans="1:6" s="86" customFormat="1">
      <c r="A238" s="164">
        <v>1</v>
      </c>
      <c r="B238" s="228" t="s">
        <v>825</v>
      </c>
      <c r="C238" s="403">
        <f>SUM(C239:C240)</f>
        <v>236000000</v>
      </c>
      <c r="D238" s="403">
        <f t="shared" ref="D238:E238" si="98">SUM(D239:D240)</f>
        <v>225000000</v>
      </c>
      <c r="E238" s="403">
        <f t="shared" si="98"/>
        <v>11000000</v>
      </c>
      <c r="F238" s="215"/>
    </row>
    <row r="239" spans="1:6" s="86" customFormat="1">
      <c r="A239" s="109"/>
      <c r="B239" s="45" t="s">
        <v>872</v>
      </c>
      <c r="C239" s="404">
        <f>SUM(D239:E239)</f>
        <v>105000000</v>
      </c>
      <c r="D239" s="404">
        <v>100000000</v>
      </c>
      <c r="E239" s="404">
        <v>5000000</v>
      </c>
      <c r="F239" s="215"/>
    </row>
    <row r="240" spans="1:6" s="86" customFormat="1">
      <c r="A240" s="109"/>
      <c r="B240" s="400" t="s">
        <v>873</v>
      </c>
      <c r="C240" s="404">
        <f t="shared" ref="C240:C269" si="99">SUM(D240:E240)</f>
        <v>131000000</v>
      </c>
      <c r="D240" s="404">
        <v>125000000</v>
      </c>
      <c r="E240" s="404">
        <v>6000000</v>
      </c>
      <c r="F240" s="215"/>
    </row>
    <row r="241" spans="1:6" s="86" customFormat="1">
      <c r="A241" s="164">
        <v>2</v>
      </c>
      <c r="B241" s="228" t="s">
        <v>827</v>
      </c>
      <c r="C241" s="405">
        <f>SUM(C242:C243)</f>
        <v>238000000</v>
      </c>
      <c r="D241" s="405">
        <f t="shared" ref="D241:E241" si="100">SUM(D242:D243)</f>
        <v>226000000</v>
      </c>
      <c r="E241" s="405">
        <f t="shared" si="100"/>
        <v>12000000</v>
      </c>
      <c r="F241" s="215"/>
    </row>
    <row r="242" spans="1:6" s="86" customFormat="1" ht="31.5">
      <c r="A242" s="84"/>
      <c r="B242" s="400" t="s">
        <v>874</v>
      </c>
      <c r="C242" s="404">
        <f t="shared" si="99"/>
        <v>138000000</v>
      </c>
      <c r="D242" s="404">
        <v>131000000</v>
      </c>
      <c r="E242" s="404">
        <v>7000000</v>
      </c>
      <c r="F242" s="215"/>
    </row>
    <row r="243" spans="1:6" s="86" customFormat="1">
      <c r="A243" s="401"/>
      <c r="B243" s="400" t="s">
        <v>875</v>
      </c>
      <c r="C243" s="404">
        <f t="shared" si="99"/>
        <v>100000000</v>
      </c>
      <c r="D243" s="404">
        <v>95000000</v>
      </c>
      <c r="E243" s="404">
        <v>5000000</v>
      </c>
      <c r="F243" s="215"/>
    </row>
    <row r="244" spans="1:6" s="86" customFormat="1">
      <c r="A244" s="164">
        <v>3</v>
      </c>
      <c r="B244" s="228" t="s">
        <v>876</v>
      </c>
      <c r="C244" s="405">
        <f>C245</f>
        <v>234000000</v>
      </c>
      <c r="D244" s="405">
        <f t="shared" ref="D244:E244" si="101">D245</f>
        <v>223000000</v>
      </c>
      <c r="E244" s="405">
        <f t="shared" si="101"/>
        <v>11000000</v>
      </c>
      <c r="F244" s="215"/>
    </row>
    <row r="245" spans="1:6" s="86" customFormat="1" ht="31.5">
      <c r="A245" s="84"/>
      <c r="B245" s="45" t="s">
        <v>878</v>
      </c>
      <c r="C245" s="404">
        <f t="shared" si="99"/>
        <v>234000000</v>
      </c>
      <c r="D245" s="404">
        <v>223000000</v>
      </c>
      <c r="E245" s="404">
        <v>11000000</v>
      </c>
      <c r="F245" s="215"/>
    </row>
    <row r="246" spans="1:6" s="86" customFormat="1">
      <c r="A246" s="164">
        <v>4</v>
      </c>
      <c r="B246" s="228" t="s">
        <v>879</v>
      </c>
      <c r="C246" s="405">
        <f>C247</f>
        <v>241000000</v>
      </c>
      <c r="D246" s="405">
        <f t="shared" ref="D246:E246" si="102">D247</f>
        <v>230000000</v>
      </c>
      <c r="E246" s="405">
        <f t="shared" si="102"/>
        <v>11000000</v>
      </c>
      <c r="F246" s="215"/>
    </row>
    <row r="247" spans="1:6" s="86" customFormat="1" ht="31.5">
      <c r="A247" s="84"/>
      <c r="B247" s="45" t="s">
        <v>880</v>
      </c>
      <c r="C247" s="404">
        <f t="shared" si="99"/>
        <v>241000000</v>
      </c>
      <c r="D247" s="404">
        <v>230000000</v>
      </c>
      <c r="E247" s="404">
        <v>11000000</v>
      </c>
      <c r="F247" s="215"/>
    </row>
    <row r="248" spans="1:6" s="86" customFormat="1">
      <c r="A248" s="164">
        <v>5</v>
      </c>
      <c r="B248" s="228" t="s">
        <v>840</v>
      </c>
      <c r="C248" s="405">
        <f>C249</f>
        <v>216000000</v>
      </c>
      <c r="D248" s="405">
        <f t="shared" ref="D248:E248" si="103">D249</f>
        <v>206000000</v>
      </c>
      <c r="E248" s="405">
        <f t="shared" si="103"/>
        <v>10000000</v>
      </c>
      <c r="F248" s="215"/>
    </row>
    <row r="249" spans="1:6" s="86" customFormat="1">
      <c r="A249" s="84"/>
      <c r="B249" s="45" t="s">
        <v>881</v>
      </c>
      <c r="C249" s="404">
        <f t="shared" si="99"/>
        <v>216000000</v>
      </c>
      <c r="D249" s="404">
        <v>206000000</v>
      </c>
      <c r="E249" s="404">
        <v>10000000</v>
      </c>
      <c r="F249" s="215"/>
    </row>
    <row r="250" spans="1:6" s="86" customFormat="1">
      <c r="A250" s="164">
        <v>6</v>
      </c>
      <c r="B250" s="228" t="s">
        <v>852</v>
      </c>
      <c r="C250" s="405">
        <f>C251</f>
        <v>256000000</v>
      </c>
      <c r="D250" s="405">
        <f t="shared" ref="D250:E250" si="104">D251</f>
        <v>244000000</v>
      </c>
      <c r="E250" s="405">
        <f t="shared" si="104"/>
        <v>12000000</v>
      </c>
      <c r="F250" s="215"/>
    </row>
    <row r="251" spans="1:6" s="86" customFormat="1" ht="31.5">
      <c r="A251" s="84"/>
      <c r="B251" s="45" t="s">
        <v>882</v>
      </c>
      <c r="C251" s="404">
        <f t="shared" si="99"/>
        <v>256000000</v>
      </c>
      <c r="D251" s="404">
        <v>244000000</v>
      </c>
      <c r="E251" s="404">
        <v>12000000</v>
      </c>
      <c r="F251" s="215"/>
    </row>
    <row r="252" spans="1:6" s="86" customFormat="1">
      <c r="A252" s="164">
        <v>7</v>
      </c>
      <c r="B252" s="228" t="s">
        <v>868</v>
      </c>
      <c r="C252" s="405">
        <f>C253</f>
        <v>243000000</v>
      </c>
      <c r="D252" s="405">
        <f t="shared" ref="D252:E252" si="105">D253</f>
        <v>230000000</v>
      </c>
      <c r="E252" s="405">
        <f t="shared" si="105"/>
        <v>13000000</v>
      </c>
      <c r="F252" s="215"/>
    </row>
    <row r="253" spans="1:6" s="86" customFormat="1" ht="31.5">
      <c r="A253" s="84"/>
      <c r="B253" s="45" t="s">
        <v>883</v>
      </c>
      <c r="C253" s="404">
        <f t="shared" si="99"/>
        <v>243000000</v>
      </c>
      <c r="D253" s="404">
        <v>230000000</v>
      </c>
      <c r="E253" s="404">
        <v>13000000</v>
      </c>
      <c r="F253" s="215"/>
    </row>
    <row r="254" spans="1:6" s="86" customFormat="1">
      <c r="A254" s="164">
        <v>8</v>
      </c>
      <c r="B254" s="228" t="s">
        <v>855</v>
      </c>
      <c r="C254" s="405">
        <f>C255</f>
        <v>268000000</v>
      </c>
      <c r="D254" s="405">
        <f t="shared" ref="D254:E254" si="106">D255</f>
        <v>255000000</v>
      </c>
      <c r="E254" s="405">
        <f t="shared" si="106"/>
        <v>13000000</v>
      </c>
      <c r="F254" s="215"/>
    </row>
    <row r="255" spans="1:6" s="86" customFormat="1" ht="31.5">
      <c r="A255" s="84"/>
      <c r="B255" s="69" t="s">
        <v>884</v>
      </c>
      <c r="C255" s="404">
        <f t="shared" si="99"/>
        <v>268000000</v>
      </c>
      <c r="D255" s="404">
        <v>255000000</v>
      </c>
      <c r="E255" s="404">
        <v>13000000</v>
      </c>
      <c r="F255" s="215"/>
    </row>
    <row r="256" spans="1:6" s="2" customFormat="1">
      <c r="A256" s="164">
        <v>9</v>
      </c>
      <c r="B256" s="228" t="s">
        <v>885</v>
      </c>
      <c r="C256" s="405">
        <f>C257</f>
        <v>246000000</v>
      </c>
      <c r="D256" s="405">
        <f t="shared" ref="D256:E256" si="107">D257</f>
        <v>234000000</v>
      </c>
      <c r="E256" s="405">
        <f t="shared" si="107"/>
        <v>12000000</v>
      </c>
      <c r="F256" s="10"/>
    </row>
    <row r="257" spans="1:6" s="86" customFormat="1" ht="31.5">
      <c r="A257" s="84"/>
      <c r="B257" s="45" t="s">
        <v>886</v>
      </c>
      <c r="C257" s="404">
        <f t="shared" si="99"/>
        <v>246000000</v>
      </c>
      <c r="D257" s="404">
        <v>234000000</v>
      </c>
      <c r="E257" s="404">
        <v>12000000</v>
      </c>
      <c r="F257" s="215"/>
    </row>
    <row r="258" spans="1:6" s="86" customFormat="1">
      <c r="A258" s="164">
        <v>10</v>
      </c>
      <c r="B258" s="228" t="s">
        <v>887</v>
      </c>
      <c r="C258" s="405">
        <f>C259</f>
        <v>239000000</v>
      </c>
      <c r="D258" s="405">
        <f t="shared" ref="D258:E258" si="108">D259</f>
        <v>228000000</v>
      </c>
      <c r="E258" s="405">
        <f t="shared" si="108"/>
        <v>11000000</v>
      </c>
      <c r="F258" s="215"/>
    </row>
    <row r="259" spans="1:6" s="86" customFormat="1">
      <c r="A259" s="63"/>
      <c r="B259" s="22" t="s">
        <v>888</v>
      </c>
      <c r="C259" s="404">
        <f t="shared" si="99"/>
        <v>239000000</v>
      </c>
      <c r="D259" s="404">
        <v>228000000</v>
      </c>
      <c r="E259" s="404">
        <v>11000000</v>
      </c>
      <c r="F259" s="215"/>
    </row>
    <row r="260" spans="1:6" s="86" customFormat="1">
      <c r="A260" s="164">
        <v>11</v>
      </c>
      <c r="B260" s="228" t="s">
        <v>860</v>
      </c>
      <c r="C260" s="405">
        <f>C261</f>
        <v>195000000</v>
      </c>
      <c r="D260" s="405">
        <f t="shared" ref="D260:E260" si="109">D261</f>
        <v>186000000</v>
      </c>
      <c r="E260" s="405">
        <f t="shared" si="109"/>
        <v>9000000</v>
      </c>
      <c r="F260" s="215"/>
    </row>
    <row r="261" spans="1:6" s="86" customFormat="1" ht="31.5">
      <c r="A261" s="63"/>
      <c r="B261" s="45" t="s">
        <v>889</v>
      </c>
      <c r="C261" s="404">
        <f t="shared" si="99"/>
        <v>195000000</v>
      </c>
      <c r="D261" s="404">
        <v>186000000</v>
      </c>
      <c r="E261" s="404">
        <v>9000000</v>
      </c>
      <c r="F261" s="215"/>
    </row>
    <row r="262" spans="1:6" s="86" customFormat="1">
      <c r="A262" s="164">
        <v>12</v>
      </c>
      <c r="B262" s="228" t="s">
        <v>890</v>
      </c>
      <c r="C262" s="405">
        <f>C263</f>
        <v>146000000</v>
      </c>
      <c r="D262" s="405">
        <f t="shared" ref="D262:E262" si="110">D263</f>
        <v>139000000</v>
      </c>
      <c r="E262" s="405">
        <f t="shared" si="110"/>
        <v>7000000</v>
      </c>
      <c r="F262" s="215"/>
    </row>
    <row r="263" spans="1:6" s="86" customFormat="1">
      <c r="A263" s="63"/>
      <c r="B263" s="45" t="s">
        <v>891</v>
      </c>
      <c r="C263" s="404">
        <f t="shared" si="99"/>
        <v>146000000</v>
      </c>
      <c r="D263" s="406">
        <v>139000000</v>
      </c>
      <c r="E263" s="407">
        <v>7000000</v>
      </c>
      <c r="F263" s="215"/>
    </row>
    <row r="264" spans="1:6" s="86" customFormat="1">
      <c r="A264" s="164">
        <v>13</v>
      </c>
      <c r="B264" s="228" t="s">
        <v>892</v>
      </c>
      <c r="C264" s="405">
        <f>SUM(C265:C267)</f>
        <v>146000000</v>
      </c>
      <c r="D264" s="405">
        <f t="shared" ref="D264:E264" si="111">SUM(D265:D267)</f>
        <v>139000000</v>
      </c>
      <c r="E264" s="405">
        <f t="shared" si="111"/>
        <v>7000000</v>
      </c>
      <c r="F264" s="215"/>
    </row>
    <row r="265" spans="1:6" s="86" customFormat="1">
      <c r="A265" s="63"/>
      <c r="B265" s="22" t="s">
        <v>893</v>
      </c>
      <c r="C265" s="404">
        <f t="shared" si="99"/>
        <v>21000000</v>
      </c>
      <c r="D265" s="404">
        <v>20000000</v>
      </c>
      <c r="E265" s="404">
        <v>1000000</v>
      </c>
      <c r="F265" s="215"/>
    </row>
    <row r="266" spans="1:6" s="86" customFormat="1">
      <c r="A266" s="63"/>
      <c r="B266" s="22" t="s">
        <v>894</v>
      </c>
      <c r="C266" s="404">
        <f t="shared" si="99"/>
        <v>103000000</v>
      </c>
      <c r="D266" s="404">
        <v>98000000</v>
      </c>
      <c r="E266" s="404">
        <v>5000000</v>
      </c>
      <c r="F266" s="215"/>
    </row>
    <row r="267" spans="1:6" s="86" customFormat="1">
      <c r="A267" s="63"/>
      <c r="B267" s="22" t="s">
        <v>895</v>
      </c>
      <c r="C267" s="404">
        <f t="shared" si="99"/>
        <v>22000000</v>
      </c>
      <c r="D267" s="404">
        <v>21000000</v>
      </c>
      <c r="E267" s="404">
        <v>1000000</v>
      </c>
      <c r="F267" s="215"/>
    </row>
    <row r="268" spans="1:6" s="86" customFormat="1">
      <c r="A268" s="164">
        <v>14</v>
      </c>
      <c r="B268" s="228" t="s">
        <v>843</v>
      </c>
      <c r="C268" s="405">
        <f>C269</f>
        <v>195000000</v>
      </c>
      <c r="D268" s="405">
        <f t="shared" ref="D268:E268" si="112">D269</f>
        <v>186000000</v>
      </c>
      <c r="E268" s="405">
        <f t="shared" si="112"/>
        <v>9000000</v>
      </c>
      <c r="F268" s="215"/>
    </row>
    <row r="269" spans="1:6" s="86" customFormat="1" ht="31.5">
      <c r="A269" s="171"/>
      <c r="B269" s="364" t="s">
        <v>896</v>
      </c>
      <c r="C269" s="408">
        <f t="shared" si="99"/>
        <v>195000000</v>
      </c>
      <c r="D269" s="408">
        <v>186000000</v>
      </c>
      <c r="E269" s="408">
        <v>9000000</v>
      </c>
      <c r="F269" s="172"/>
    </row>
  </sheetData>
  <mergeCells count="13">
    <mergeCell ref="A10:B10"/>
    <mergeCell ref="A121:A122"/>
    <mergeCell ref="C121:C122"/>
    <mergeCell ref="D121:D122"/>
    <mergeCell ref="E121:E122"/>
    <mergeCell ref="A2:F2"/>
    <mergeCell ref="A3:F3"/>
    <mergeCell ref="A6:A8"/>
    <mergeCell ref="B6:B8"/>
    <mergeCell ref="C6:E6"/>
    <mergeCell ref="F6:F8"/>
    <mergeCell ref="C7:C8"/>
    <mergeCell ref="D7:E7"/>
  </mergeCells>
  <pageMargins left="0.6692913385826772" right="0.35433070866141736" top="0.51181102362204722" bottom="0.59055118110236227" header="0.31496062992125984" footer="0.31496062992125984"/>
  <pageSetup paperSize="9" orientation="landscape" verticalDpi="0"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17</vt:i4>
      </vt:variant>
    </vt:vector>
  </HeadingPairs>
  <TitlesOfParts>
    <vt:vector size="29" baseType="lpstr">
      <vt:lpstr>PL1-TH dư nguồn DTTS</vt:lpstr>
      <vt:lpstr>PL2-TH dư nguồn GNBV</vt:lpstr>
      <vt:lpstr>B1 PAĐC DTTS</vt:lpstr>
      <vt:lpstr>B2 PAĐC GNBV</vt:lpstr>
      <vt:lpstr>B3 PAĐC NTM</vt:lpstr>
      <vt:lpstr>B4 TM tăng DTTS</vt:lpstr>
      <vt:lpstr>B5 TM tăng TDA2 DA3 DTTS</vt:lpstr>
      <vt:lpstr>B6 TM tăng TDA1 DA4 DTTS</vt:lpstr>
      <vt:lpstr>B7 TM TDA1 DA4 DTTS 2024</vt:lpstr>
      <vt:lpstr>B8 TM tăng GNBV</vt:lpstr>
      <vt:lpstr>B9 TM tăng PTSX GNBV</vt:lpstr>
      <vt:lpstr>Phụ lục I</vt:lpstr>
      <vt:lpstr>'B1 PAĐC DTTS'!Print_Area</vt:lpstr>
      <vt:lpstr>'B2 PAĐC GNBV'!Print_Area</vt:lpstr>
      <vt:lpstr>'PL1-TH dư nguồn DTTS'!Print_Area</vt:lpstr>
      <vt:lpstr>'PL2-TH dư nguồn GNBV'!Print_Area</vt:lpstr>
      <vt:lpstr>'Phụ lục I'!Print_Area</vt:lpstr>
      <vt:lpstr>'B1 PAĐC DTTS'!Print_Titles</vt:lpstr>
      <vt:lpstr>'B2 PAĐC GNBV'!Print_Titles</vt:lpstr>
      <vt:lpstr>'B3 PAĐC NTM'!Print_Titles</vt:lpstr>
      <vt:lpstr>'B4 TM tăng DTTS'!Print_Titles</vt:lpstr>
      <vt:lpstr>'B5 TM tăng TDA2 DA3 DTTS'!Print_Titles</vt:lpstr>
      <vt:lpstr>'B6 TM tăng TDA1 DA4 DTTS'!Print_Titles</vt:lpstr>
      <vt:lpstr>'B7 TM TDA1 DA4 DTTS 2024'!Print_Titles</vt:lpstr>
      <vt:lpstr>'B8 TM tăng GNBV'!Print_Titles</vt:lpstr>
      <vt:lpstr>'B9 TM tăng PTSX GNBV'!Print_Titles</vt:lpstr>
      <vt:lpstr>'PL1-TH dư nguồn DTTS'!Print_Titles</vt:lpstr>
      <vt:lpstr>'PL2-TH dư nguồn GNBV'!Print_Titles</vt:lpstr>
      <vt:lpstr>'Phụ lục I'!Print_Titles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Bích Ngọc</dc:creator>
  <cp:lastModifiedBy>Phu PC</cp:lastModifiedBy>
  <cp:lastPrinted>2025-12-31T08:15:48Z</cp:lastPrinted>
  <dcterms:created xsi:type="dcterms:W3CDTF">2024-03-06T07:49:15Z</dcterms:created>
  <dcterms:modified xsi:type="dcterms:W3CDTF">2025-12-30T21:15:20Z</dcterms:modified>
</cp:coreProperties>
</file>